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3"/>
  </bookViews>
  <sheets>
    <sheet name="terminology" sheetId="1" r:id="rId1"/>
    <sheet name="measurements" sheetId="2" r:id="rId2"/>
    <sheet name="transformed" sheetId="4" r:id="rId3"/>
    <sheet name="Sheet1" sheetId="5" r:id="rId4"/>
    <sheet name="Sheet2" sheetId="6" r:id="rId5"/>
  </sheets>
  <calcPr calcId="145621"/>
</workbook>
</file>

<file path=xl/calcChain.xml><?xml version="1.0" encoding="utf-8"?>
<calcChain xmlns="http://schemas.openxmlformats.org/spreadsheetml/2006/main">
  <c r="D26" i="5" l="1"/>
  <c r="N26" i="5" s="1"/>
  <c r="M24" i="5"/>
  <c r="N24" i="5"/>
  <c r="O24" i="5"/>
  <c r="P24" i="5"/>
  <c r="M25" i="5"/>
  <c r="N25" i="5"/>
  <c r="O25" i="5"/>
  <c r="P25" i="5"/>
  <c r="M26" i="5"/>
  <c r="P26" i="5"/>
  <c r="M27" i="5"/>
  <c r="N27" i="5"/>
  <c r="O27" i="5"/>
  <c r="P27" i="5"/>
  <c r="M28" i="5"/>
  <c r="N28" i="5"/>
  <c r="O28" i="5"/>
  <c r="P28" i="5"/>
  <c r="G20" i="6"/>
  <c r="G18" i="6"/>
  <c r="B24" i="5"/>
  <c r="E28" i="5"/>
  <c r="F28" i="5"/>
  <c r="G28" i="5"/>
  <c r="H28" i="5"/>
  <c r="J28" i="5"/>
  <c r="K28" i="5"/>
  <c r="B28" i="5"/>
  <c r="D27" i="5"/>
  <c r="E27" i="5"/>
  <c r="F27" i="5"/>
  <c r="G27" i="5"/>
  <c r="H27" i="5"/>
  <c r="J27" i="5"/>
  <c r="K27" i="5"/>
  <c r="B27" i="5"/>
  <c r="E26" i="5"/>
  <c r="F26" i="5"/>
  <c r="G26" i="5"/>
  <c r="H26" i="5"/>
  <c r="J26" i="5"/>
  <c r="K26" i="5"/>
  <c r="B26" i="5"/>
  <c r="E25" i="5"/>
  <c r="F25" i="5"/>
  <c r="G25" i="5"/>
  <c r="H25" i="5"/>
  <c r="J25" i="5"/>
  <c r="K25" i="5"/>
  <c r="B25" i="5"/>
  <c r="K24" i="5"/>
  <c r="E24" i="5"/>
  <c r="F24" i="5"/>
  <c r="G24" i="5"/>
  <c r="H24" i="5"/>
  <c r="J24" i="5"/>
  <c r="J18" i="6"/>
  <c r="H22" i="6"/>
  <c r="I22" i="6"/>
  <c r="J22" i="6"/>
  <c r="G22" i="6"/>
  <c r="H20" i="6"/>
  <c r="H21" i="6" s="1"/>
  <c r="I20" i="6"/>
  <c r="I21" i="6" s="1"/>
  <c r="J20" i="6"/>
  <c r="J21" i="6" s="1"/>
  <c r="G21" i="6"/>
  <c r="H19" i="6"/>
  <c r="I19" i="6"/>
  <c r="J19" i="6"/>
  <c r="G19" i="6"/>
  <c r="H18" i="6"/>
  <c r="I18" i="6"/>
  <c r="P5" i="5"/>
  <c r="P6" i="5"/>
  <c r="P7" i="5"/>
  <c r="P10" i="5"/>
  <c r="P11" i="5"/>
  <c r="P14" i="5"/>
  <c r="P15" i="5"/>
  <c r="P4" i="5"/>
  <c r="M6" i="5"/>
  <c r="M5" i="5"/>
  <c r="N5" i="5"/>
  <c r="O5" i="5"/>
  <c r="N6" i="5"/>
  <c r="O6" i="5"/>
  <c r="M7" i="5"/>
  <c r="N7" i="5"/>
  <c r="O7" i="5"/>
  <c r="M10" i="5"/>
  <c r="N10" i="5"/>
  <c r="O10" i="5"/>
  <c r="M11" i="5"/>
  <c r="N11" i="5"/>
  <c r="O11" i="5"/>
  <c r="M14" i="5"/>
  <c r="N14" i="5"/>
  <c r="O14" i="5"/>
  <c r="M15" i="5"/>
  <c r="N15" i="5"/>
  <c r="O15" i="5"/>
  <c r="D4" i="5"/>
  <c r="O4" i="5" s="1"/>
  <c r="E4" i="5"/>
  <c r="F4" i="5"/>
  <c r="G4" i="5"/>
  <c r="H4" i="5"/>
  <c r="J4" i="5"/>
  <c r="K4" i="5"/>
  <c r="D5" i="5"/>
  <c r="E5" i="5"/>
  <c r="F5" i="5"/>
  <c r="G5" i="5"/>
  <c r="H5" i="5"/>
  <c r="J5" i="5"/>
  <c r="K5" i="5"/>
  <c r="E6" i="5"/>
  <c r="F6" i="5"/>
  <c r="G6" i="5"/>
  <c r="H6" i="5"/>
  <c r="J6" i="5"/>
  <c r="K6" i="5"/>
  <c r="D7" i="5"/>
  <c r="E7" i="5"/>
  <c r="F7" i="5"/>
  <c r="G7" i="5"/>
  <c r="H7" i="5"/>
  <c r="J7" i="5"/>
  <c r="K7" i="5"/>
  <c r="E10" i="5"/>
  <c r="F10" i="5"/>
  <c r="G10" i="5"/>
  <c r="H10" i="5"/>
  <c r="J10" i="5"/>
  <c r="K10" i="5"/>
  <c r="D11" i="5"/>
  <c r="E11" i="5"/>
  <c r="F11" i="5"/>
  <c r="G11" i="5"/>
  <c r="H11" i="5"/>
  <c r="J11" i="5"/>
  <c r="K11" i="5"/>
  <c r="D14" i="5"/>
  <c r="E14" i="5"/>
  <c r="F14" i="5"/>
  <c r="G14" i="5"/>
  <c r="H14" i="5"/>
  <c r="J14" i="5"/>
  <c r="K14" i="5"/>
  <c r="D15" i="5"/>
  <c r="E15" i="5"/>
  <c r="F15" i="5"/>
  <c r="G15" i="5"/>
  <c r="J15" i="5"/>
  <c r="K15" i="5"/>
  <c r="B5" i="5"/>
  <c r="B6" i="5"/>
  <c r="B7" i="5"/>
  <c r="B10" i="5"/>
  <c r="B11" i="5"/>
  <c r="B12" i="5"/>
  <c r="B13" i="5"/>
  <c r="B14" i="5"/>
  <c r="B15" i="5"/>
  <c r="B4" i="5"/>
  <c r="N4" i="5"/>
  <c r="B4" i="4"/>
  <c r="C4" i="4"/>
  <c r="D4" i="4"/>
  <c r="E4" i="4"/>
  <c r="F4" i="4"/>
  <c r="G4" i="4"/>
  <c r="H4" i="4"/>
  <c r="I4" i="4"/>
  <c r="J4" i="4"/>
  <c r="K4" i="4"/>
  <c r="B5" i="4"/>
  <c r="C5" i="4"/>
  <c r="D5" i="4"/>
  <c r="E5" i="4"/>
  <c r="F5" i="4"/>
  <c r="G5" i="4"/>
  <c r="H5" i="4"/>
  <c r="I5" i="4"/>
  <c r="J5" i="4"/>
  <c r="K5" i="4"/>
  <c r="B6" i="4"/>
  <c r="C6" i="4"/>
  <c r="D6" i="4"/>
  <c r="E6" i="4"/>
  <c r="F6" i="4"/>
  <c r="G6" i="4"/>
  <c r="H6" i="4"/>
  <c r="I6" i="4"/>
  <c r="J6" i="4"/>
  <c r="K6" i="4"/>
  <c r="B7" i="4"/>
  <c r="C7" i="4"/>
  <c r="D7" i="4"/>
  <c r="E7" i="4"/>
  <c r="F7" i="4"/>
  <c r="G7" i="4"/>
  <c r="H7" i="4"/>
  <c r="I7" i="4"/>
  <c r="J7" i="4"/>
  <c r="K7" i="4"/>
  <c r="B10" i="4"/>
  <c r="C10" i="4"/>
  <c r="D10" i="4"/>
  <c r="E10" i="4"/>
  <c r="F10" i="4"/>
  <c r="G10" i="4"/>
  <c r="H10" i="4"/>
  <c r="I10" i="4"/>
  <c r="J10" i="4"/>
  <c r="K10" i="4"/>
  <c r="B11" i="4"/>
  <c r="C11" i="4"/>
  <c r="D11" i="4"/>
  <c r="E11" i="4"/>
  <c r="F11" i="4"/>
  <c r="G11" i="4"/>
  <c r="H11" i="4"/>
  <c r="I11" i="4"/>
  <c r="J11" i="4"/>
  <c r="K11" i="4"/>
  <c r="B12" i="4"/>
  <c r="C12" i="4"/>
  <c r="D12" i="4"/>
  <c r="E12" i="4"/>
  <c r="F12" i="4"/>
  <c r="G12" i="4"/>
  <c r="H12" i="4"/>
  <c r="I12" i="4"/>
  <c r="J12" i="4"/>
  <c r="K12" i="4"/>
  <c r="B13" i="4"/>
  <c r="C13" i="4"/>
  <c r="D13" i="4"/>
  <c r="E13" i="4"/>
  <c r="F13" i="4"/>
  <c r="G13" i="4"/>
  <c r="H13" i="4"/>
  <c r="I13" i="4"/>
  <c r="J13" i="4"/>
  <c r="K13" i="4"/>
  <c r="B14" i="4"/>
  <c r="C14" i="4"/>
  <c r="D14" i="4"/>
  <c r="E14" i="4"/>
  <c r="F14" i="4"/>
  <c r="G14" i="4"/>
  <c r="H14" i="4"/>
  <c r="I14" i="4"/>
  <c r="J14" i="4"/>
  <c r="K14" i="4"/>
  <c r="B15" i="4"/>
  <c r="C15" i="4"/>
  <c r="D15" i="4"/>
  <c r="E15" i="4"/>
  <c r="F15" i="4"/>
  <c r="G15" i="4"/>
  <c r="H15" i="4"/>
  <c r="I15" i="4"/>
  <c r="J15" i="4"/>
  <c r="K15" i="4"/>
  <c r="K12" i="2"/>
  <c r="D12" i="2"/>
  <c r="E12" i="2"/>
  <c r="F12" i="2"/>
  <c r="G12" i="2"/>
  <c r="B12" i="2"/>
  <c r="H12" i="2"/>
  <c r="I12" i="2"/>
  <c r="J12" i="2"/>
  <c r="O26" i="5" l="1"/>
  <c r="M4" i="5"/>
  <c r="J3" i="2"/>
  <c r="K3" i="2"/>
  <c r="D3" i="2"/>
  <c r="E3" i="2"/>
  <c r="F3" i="2"/>
  <c r="G3" i="2"/>
  <c r="B3" i="2"/>
  <c r="H4" i="2"/>
  <c r="H3" i="2"/>
  <c r="I3" i="2"/>
</calcChain>
</file>

<file path=xl/sharedStrings.xml><?xml version="1.0" encoding="utf-8"?>
<sst xmlns="http://schemas.openxmlformats.org/spreadsheetml/2006/main" count="241" uniqueCount="84">
  <si>
    <r>
      <t>EL - Eye length.</t>
    </r>
    <r>
      <rPr>
        <sz val="10"/>
        <color theme="1"/>
        <rFont val="Trebuchet MS"/>
        <family val="2"/>
      </rPr>
      <t xml:space="preserve"> In full face view, the length of the compound eye along</t>
    </r>
  </si>
  <si>
    <t>the longitudinal axis.</t>
  </si>
  <si>
    <r>
      <t>HL - Head length.</t>
    </r>
    <r>
      <rPr>
        <sz val="10"/>
        <color theme="1"/>
        <rFont val="Trebuchet MS"/>
        <family val="2"/>
      </rPr>
      <t xml:space="preserve"> In full face view, the midline distance from the level of the maximum posterior projection of the posterior margin of the head to the level of the most anterior projection of the anterior clypeal margin. In  males, I consider the posterior margin of the head as the</t>
    </r>
  </si>
  <si>
    <t>vertex between, and not including, the ocelli.</t>
  </si>
  <si>
    <r>
      <t>W - Head width.</t>
    </r>
    <r>
      <rPr>
        <sz val="10"/>
        <color theme="1"/>
        <rFont val="Trebuchet MS"/>
        <family val="2"/>
      </rPr>
      <t xml:space="preserve"> In full face view, the maximum width of the head posterior to the compound eyes.</t>
    </r>
  </si>
  <si>
    <r>
      <t>FL - Profemur length.</t>
    </r>
    <r>
      <rPr>
        <sz val="10"/>
        <color theme="1"/>
        <rFont val="Trebuchet MS"/>
        <family val="2"/>
      </rPr>
      <t xml:space="preserve"> In posterior view, measured along the longitudinal axis from the apex to the junction with the trochanter.</t>
    </r>
  </si>
  <si>
    <r>
      <t>PW - Pronotal width.</t>
    </r>
    <r>
      <rPr>
        <sz val="10"/>
        <color theme="1"/>
        <rFont val="Trebuchet MS"/>
        <family val="2"/>
      </rPr>
      <t xml:space="preserve"> In dorsal view, the maximum width of the pronotum measured from the lateral margins.</t>
    </r>
  </si>
  <si>
    <r>
      <t>SL - Antennal scape length.</t>
    </r>
    <r>
      <rPr>
        <sz val="10"/>
        <color theme="1"/>
        <rFont val="Trebuchet MS"/>
        <family val="2"/>
      </rPr>
      <t xml:space="preserve"> Measured from the apex of the first antennal segment to the base, exclusive of the radicle.</t>
    </r>
  </si>
  <si>
    <r>
      <t>MFC - Minimum frontal carinal width.</t>
    </r>
    <r>
      <rPr>
        <sz val="10"/>
        <color theme="1"/>
        <rFont val="Trebuchet MS"/>
        <family val="2"/>
      </rPr>
      <t xml:space="preserve"> In full face view, the minimum distance between the frontal carinae.</t>
    </r>
  </si>
  <si>
    <r>
      <t>LHT - Metatibial length.</t>
    </r>
    <r>
      <rPr>
        <sz val="10"/>
        <color theme="1"/>
        <rFont val="Trebuchet MS"/>
        <family val="2"/>
      </rPr>
      <t xml:space="preserve"> In dorsal view, measured along the longitudinal axis from the apex to the level of the lateral condyles, excluding the medial proximal condyle.</t>
    </r>
  </si>
  <si>
    <r>
      <t>WL - Wing length.</t>
    </r>
    <r>
      <rPr>
        <sz val="10"/>
        <color theme="1"/>
        <rFont val="Trebuchet MS"/>
        <family val="2"/>
      </rPr>
      <t xml:space="preserve"> In males and queens, the maximum distance between the base of the sclerotized wing veins to the distal margin of the wing.</t>
    </r>
  </si>
  <si>
    <r>
      <t>MML - Maximum mesosomal length.</t>
    </r>
    <r>
      <rPr>
        <sz val="10"/>
        <color theme="1"/>
        <rFont val="Trebuchet MS"/>
        <family val="2"/>
      </rPr>
      <t xml:space="preserve"> In males and queens, the distance from the maximum anterior projection of the mesosoma to the maximum</t>
    </r>
  </si>
  <si>
    <t>posterior projection of the propodeum. In males with a well developed mesosoma the anterior projection of the mesosoma is often formed by a swollen mesoscutum, and the posterior projection is formed by a rearward projection of the propodeal dorsum above the petiole. MML in workers was not taken because the flexible articulation between the pronotum and the mesonotum introduces substantial variation in this measurement.</t>
  </si>
  <si>
    <r>
      <t>EW - Eye width.</t>
    </r>
    <r>
      <rPr>
        <sz val="10"/>
        <color theme="1"/>
        <rFont val="Trebuchet MS"/>
        <family val="2"/>
      </rPr>
      <t xml:space="preserve"> With eye held in focal plane facing the viewer, the maximum transverse width of the compound eye.</t>
    </r>
  </si>
  <si>
    <r>
      <t>ES - Eye size.</t>
    </r>
    <r>
      <rPr>
        <sz val="10"/>
        <color theme="1"/>
        <rFont val="Trebuchet MS"/>
        <family val="2"/>
      </rPr>
      <t xml:space="preserve"> 100*EL*EW.</t>
    </r>
  </si>
  <si>
    <r>
      <t>SI - Scape index.</t>
    </r>
    <r>
      <rPr>
        <sz val="10"/>
        <color theme="1"/>
        <rFont val="Trebuchet MS"/>
        <family val="2"/>
      </rPr>
      <t xml:space="preserve"> 100*SL/HL.</t>
    </r>
  </si>
  <si>
    <r>
      <t>CI - Cephalic index.</t>
    </r>
    <r>
      <rPr>
        <sz val="10"/>
        <color theme="1"/>
        <rFont val="Trebuchet MS"/>
        <family val="2"/>
      </rPr>
      <t xml:space="preserve"> 100*HW/HL.</t>
    </r>
  </si>
  <si>
    <r>
      <t>CDI - Carinal distance index.</t>
    </r>
    <r>
      <rPr>
        <sz val="10"/>
        <color theme="1"/>
        <rFont val="Trebuchet MS"/>
        <family val="2"/>
      </rPr>
      <t xml:space="preserve"> 100*MFC/HW.</t>
    </r>
  </si>
  <si>
    <r>
      <t>OI - Ocular index.</t>
    </r>
    <r>
      <rPr>
        <sz val="10"/>
        <color theme="1"/>
        <rFont val="Trebuchet MS"/>
        <family val="2"/>
      </rPr>
      <t xml:space="preserve"> In workers, 10*ES/HL (= 1000*EL*EW/HL). In males and queens, 100*EL/HL.</t>
    </r>
  </si>
  <si>
    <r>
      <t>WI - Wing index.</t>
    </r>
    <r>
      <rPr>
        <sz val="10"/>
        <color theme="1"/>
        <rFont val="Trebuchet MS"/>
        <family val="2"/>
      </rPr>
      <t xml:space="preserve"> In males and queens, 10*WL/MML.</t>
    </r>
  </si>
  <si>
    <r>
      <t>FI - Femoral index.</t>
    </r>
    <r>
      <rPr>
        <sz val="10"/>
        <color theme="1"/>
        <rFont val="Trebuchet MS"/>
        <family val="2"/>
      </rPr>
      <t xml:space="preserve"> In males and queens, 100*FL/MML.</t>
    </r>
  </si>
  <si>
    <t>EL - Eye length</t>
  </si>
  <si>
    <t>HL - Head length</t>
  </si>
  <si>
    <t>W - Head width</t>
  </si>
  <si>
    <t>FL - Profemur length</t>
  </si>
  <si>
    <t>PW - Pronotal width</t>
  </si>
  <si>
    <t>SL - Antennal scape length</t>
  </si>
  <si>
    <t>MFC - Minimum frontal carinal width</t>
  </si>
  <si>
    <t>LHT - Metatibial length</t>
  </si>
  <si>
    <t>WL - Wing length</t>
  </si>
  <si>
    <t>MML - Maximum mesosomal length</t>
  </si>
  <si>
    <t>EW - Eye width</t>
  </si>
  <si>
    <t>ES - Eye size</t>
  </si>
  <si>
    <t>SI - Scape index</t>
  </si>
  <si>
    <t>CI - Cephalic index</t>
  </si>
  <si>
    <t>CDI - Carinal distance index</t>
  </si>
  <si>
    <t>OI - Ocular index</t>
  </si>
  <si>
    <t>WI - Wing index</t>
  </si>
  <si>
    <t>FI - Femoral index</t>
  </si>
  <si>
    <t>Female gyne</t>
  </si>
  <si>
    <t>Male alate</t>
  </si>
  <si>
    <t>CASENT0178530</t>
  </si>
  <si>
    <t>CASENT0178527</t>
  </si>
  <si>
    <t>CASENT0007617</t>
  </si>
  <si>
    <t>CASENT0010836</t>
  </si>
  <si>
    <t>CASENT0178526</t>
  </si>
  <si>
    <t>CASENT0178529</t>
  </si>
  <si>
    <t>Workers</t>
  </si>
  <si>
    <t>CASENT0178846</t>
  </si>
  <si>
    <t>CASENT0179066</t>
  </si>
  <si>
    <t>CASENT0179566</t>
  </si>
  <si>
    <t>CASENT0904973</t>
  </si>
  <si>
    <t>SCALE IN IMAGE : HEAD</t>
  </si>
  <si>
    <t>SCALE IN IMAGE : PROFILE</t>
  </si>
  <si>
    <t>SCALE IN IMAGE : PLAN</t>
  </si>
  <si>
    <t>SCALE IN IMAGE : OTHERS</t>
  </si>
  <si>
    <t>CALCULATED METRICS</t>
  </si>
  <si>
    <t>WL (Weber’s Length): in lateral view, the distance from the
posteriormost border of the metapleural lobe to the anteriormost border of the pronotum, excluding the anterior cervical flange.</t>
  </si>
  <si>
    <t>WL - Weber's length</t>
  </si>
  <si>
    <t xml:space="preserve">These characters include pilosity, pubescence, body color, wing venation, shape of the head, shape of the mesosoma and associated sclerites, shape of the petiole, male genital morphology, and maxillary palp morphology. </t>
  </si>
  <si>
    <t>Body colour</t>
  </si>
  <si>
    <t>Wing venation</t>
  </si>
  <si>
    <t>Mesosoma shape</t>
  </si>
  <si>
    <t>Petiole shape</t>
  </si>
  <si>
    <t>Post-petiole shape</t>
  </si>
  <si>
    <t>Palp morphology</t>
  </si>
  <si>
    <t>Genitalia morphology</t>
  </si>
  <si>
    <t>PDH (Propodeum Height): height of the propodeum as measured in lateral view from the base of the metapleuron to the maximum height of the propodeum.</t>
  </si>
  <si>
    <t>GL (Gaster Length): the length of the gaster in lateral view from the anteriormost point of the first gastral segment (third abdominal segment) to the posteriormost point.</t>
  </si>
  <si>
    <t>Frontal lobe shape</t>
  </si>
  <si>
    <t>on alitrunk</t>
  </si>
  <si>
    <t>on gaster</t>
  </si>
  <si>
    <t>Pilosity and pubescence</t>
  </si>
  <si>
    <t>Number of tubercles on alitrunk</t>
  </si>
  <si>
    <t>Sculpturing on head (Harris 1979)</t>
  </si>
  <si>
    <t>nil</t>
  </si>
  <si>
    <t>Convex</t>
  </si>
  <si>
    <t>GL - Gaster length*unreliable</t>
  </si>
  <si>
    <t>Average</t>
  </si>
  <si>
    <t>Min</t>
  </si>
  <si>
    <t>Max</t>
  </si>
  <si>
    <t>Stdev</t>
  </si>
  <si>
    <t>Calculated</t>
  </si>
  <si>
    <t>Measured</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</si>
</sst>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0"/>
      <color theme="1"/>
      <name val="Trebuchet MS"/>
      <family val="2"/>
    </font>
    <font>
      <b/>
      <sz val="10"/>
      <color theme="1"/>
      <name val="Trebuchet MS"/>
      <family val="2"/>
    </font>
    <font>
      <sz val="10"/>
      <color rgb="FFFF0000"/>
      <name val="Trebuchet MS"/>
      <family val="2"/>
    </font>
    <font>
      <sz val="10"/>
      <color theme="0"/>
      <name val="Trebuchet MS"/>
      <family val="2"/>
    </font>
    <font>
      <b/>
      <sz val="11"/>
      <color theme="1"/>
      <name val="Calibri"/>
      <family val="2"/>
      <scheme val="minor"/>
    </font>
    <font>
      <b/>
      <u/>
      <sz val="10"/>
      <color theme="1"/>
      <name val="Trebuchet MS"/>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8" tint="0.39997558519241921"/>
        <bgColor indexed="64"/>
      </patternFill>
    </fill>
    <fill>
      <patternFill patternType="solid">
        <fgColor rgb="FFFFC000"/>
        <bgColor indexed="64"/>
      </patternFill>
    </fill>
    <fill>
      <patternFill patternType="solid">
        <fgColor theme="0" tint="-4.9989318521683403E-2"/>
        <bgColor indexed="64"/>
      </patternFill>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3">
    <xf numFmtId="0" fontId="0" fillId="0" borderId="0" xfId="0"/>
    <xf numFmtId="0" fontId="2" fillId="0" borderId="1" xfId="0" applyFont="1" applyBorder="1" applyAlignment="1">
      <alignment vertical="center" wrapText="1"/>
    </xf>
    <xf numFmtId="0" fontId="1" fillId="0" borderId="2"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1" fillId="0" borderId="0" xfId="0" applyFont="1"/>
    <xf numFmtId="0" fontId="1" fillId="0" borderId="0" xfId="0" applyFont="1" applyBorder="1"/>
    <xf numFmtId="0" fontId="2" fillId="0" borderId="0" xfId="0" applyFont="1" applyBorder="1" applyAlignment="1">
      <alignment vertical="center" wrapText="1"/>
    </xf>
    <xf numFmtId="0" fontId="1" fillId="2" borderId="0" xfId="0" applyFont="1" applyFill="1" applyBorder="1"/>
    <xf numFmtId="0" fontId="1" fillId="5" borderId="0" xfId="0" applyFont="1" applyFill="1" applyBorder="1"/>
    <xf numFmtId="0" fontId="1" fillId="0" borderId="0" xfId="0" applyFont="1" applyFill="1" applyBorder="1"/>
    <xf numFmtId="0" fontId="3" fillId="0" borderId="0" xfId="0" applyFont="1" applyBorder="1"/>
    <xf numFmtId="0" fontId="3" fillId="0" borderId="0" xfId="0" applyFont="1"/>
    <xf numFmtId="0" fontId="4" fillId="3" borderId="0" xfId="0" applyFont="1" applyFill="1" applyBorder="1"/>
    <xf numFmtId="0" fontId="4" fillId="4" borderId="0" xfId="0" applyFont="1" applyFill="1" applyBorder="1"/>
    <xf numFmtId="0" fontId="4" fillId="5" borderId="0" xfId="0" applyFont="1" applyFill="1" applyBorder="1"/>
    <xf numFmtId="0" fontId="1" fillId="0" borderId="0" xfId="0" applyFont="1" applyAlignment="1">
      <alignment wrapText="1"/>
    </xf>
    <xf numFmtId="0" fontId="1" fillId="0" borderId="0" xfId="0" applyFont="1" applyBorder="1" applyAlignment="1"/>
    <xf numFmtId="0" fontId="2" fillId="6" borderId="0" xfId="0" applyFont="1" applyFill="1" applyBorder="1" applyAlignment="1">
      <alignment vertical="center" wrapText="1"/>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3" fillId="7" borderId="0" xfId="0" applyFont="1" applyFill="1" applyBorder="1"/>
    <xf numFmtId="0" fontId="1" fillId="7" borderId="0" xfId="0" applyFont="1" applyFill="1" applyBorder="1"/>
    <xf numFmtId="0" fontId="1" fillId="7" borderId="0" xfId="0" applyFont="1" applyFill="1"/>
    <xf numFmtId="0" fontId="3" fillId="7" borderId="0" xfId="0" applyFont="1" applyFill="1"/>
    <xf numFmtId="0" fontId="1" fillId="6" borderId="0" xfId="0" applyFont="1" applyFill="1" applyBorder="1" applyAlignment="1">
      <alignment horizontal="left" vertical="center" wrapText="1" indent="2"/>
    </xf>
    <xf numFmtId="0" fontId="1" fillId="4" borderId="0" xfId="0" applyFont="1" applyFill="1" applyBorder="1"/>
    <xf numFmtId="0" fontId="2" fillId="4" borderId="0" xfId="0" applyFont="1" applyFill="1" applyBorder="1" applyAlignment="1">
      <alignment vertical="center" wrapText="1"/>
    </xf>
    <xf numFmtId="0" fontId="2" fillId="0" borderId="0" xfId="0" applyFont="1" applyFill="1" applyBorder="1" applyAlignment="1">
      <alignment vertical="center" wrapText="1"/>
    </xf>
    <xf numFmtId="0" fontId="5" fillId="0" borderId="0" xfId="0" applyFont="1"/>
    <xf numFmtId="0" fontId="0" fillId="0" borderId="0" xfId="0" applyFill="1"/>
    <xf numFmtId="0" fontId="6" fillId="0" borderId="0" xfId="0" applyFont="1"/>
    <xf numFmtId="0" fontId="6" fillId="0" borderId="0" xfId="0" applyFont="1" applyFill="1" applyBorder="1" applyAlignment="1">
      <alignmen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23" sqref="A23"/>
    </sheetView>
  </sheetViews>
  <sheetFormatPr defaultRowHeight="15" x14ac:dyDescent="0.25"/>
  <cols>
    <col min="1" max="1" width="56.85546875" customWidth="1"/>
  </cols>
  <sheetData>
    <row r="1" spans="1:1" x14ac:dyDescent="0.25">
      <c r="A1" s="1" t="s">
        <v>0</v>
      </c>
    </row>
    <row r="2" spans="1:1" x14ac:dyDescent="0.25">
      <c r="A2" s="2" t="s">
        <v>1</v>
      </c>
    </row>
    <row r="3" spans="1:1" ht="45" x14ac:dyDescent="0.25">
      <c r="A3" s="3" t="s">
        <v>2</v>
      </c>
    </row>
    <row r="4" spans="1:1" x14ac:dyDescent="0.25">
      <c r="A4" s="2" t="s">
        <v>3</v>
      </c>
    </row>
    <row r="5" spans="1:1" x14ac:dyDescent="0.25">
      <c r="A5" s="3" t="s">
        <v>4</v>
      </c>
    </row>
    <row r="6" spans="1:1" ht="30" x14ac:dyDescent="0.25">
      <c r="A6" s="3" t="s">
        <v>5</v>
      </c>
    </row>
    <row r="7" spans="1:1" ht="30" x14ac:dyDescent="0.25">
      <c r="A7" s="3" t="s">
        <v>6</v>
      </c>
    </row>
    <row r="8" spans="1:1" ht="30" x14ac:dyDescent="0.25">
      <c r="A8" s="3" t="s">
        <v>7</v>
      </c>
    </row>
    <row r="9" spans="1:1" ht="30" x14ac:dyDescent="0.25">
      <c r="A9" s="3" t="s">
        <v>8</v>
      </c>
    </row>
    <row r="10" spans="1:1" ht="30" x14ac:dyDescent="0.25">
      <c r="A10" s="3" t="s">
        <v>9</v>
      </c>
    </row>
    <row r="11" spans="1:1" ht="30" x14ac:dyDescent="0.25">
      <c r="A11" s="3" t="s">
        <v>10</v>
      </c>
    </row>
    <row r="12" spans="1:1" ht="30" x14ac:dyDescent="0.25">
      <c r="A12" s="3" t="s">
        <v>11</v>
      </c>
    </row>
    <row r="13" spans="1:1" ht="75" x14ac:dyDescent="0.25">
      <c r="A13" s="2" t="s">
        <v>12</v>
      </c>
    </row>
    <row r="14" spans="1:1" ht="30" x14ac:dyDescent="0.25">
      <c r="A14" s="3" t="s">
        <v>13</v>
      </c>
    </row>
    <row r="15" spans="1:1" x14ac:dyDescent="0.25">
      <c r="A15" s="3" t="s">
        <v>14</v>
      </c>
    </row>
    <row r="16" spans="1:1" x14ac:dyDescent="0.25">
      <c r="A16" s="3" t="s">
        <v>15</v>
      </c>
    </row>
    <row r="17" spans="1:1" x14ac:dyDescent="0.25">
      <c r="A17" s="3" t="s">
        <v>16</v>
      </c>
    </row>
    <row r="18" spans="1:1" x14ac:dyDescent="0.25">
      <c r="A18" s="3" t="s">
        <v>17</v>
      </c>
    </row>
    <row r="19" spans="1:1" x14ac:dyDescent="0.25">
      <c r="A19" s="3" t="s">
        <v>18</v>
      </c>
    </row>
    <row r="20" spans="1:1" x14ac:dyDescent="0.25">
      <c r="A20" s="3" t="s">
        <v>19</v>
      </c>
    </row>
    <row r="21" spans="1:1" ht="15.75" thickBot="1" x14ac:dyDescent="0.3">
      <c r="A21" s="4" t="s">
        <v>20</v>
      </c>
    </row>
    <row r="23" spans="1:1" ht="60" x14ac:dyDescent="0.3">
      <c r="A23" s="16" t="s">
        <v>57</v>
      </c>
    </row>
    <row r="24" spans="1:1" ht="45" x14ac:dyDescent="0.3">
      <c r="A24" s="16" t="s">
        <v>67</v>
      </c>
    </row>
    <row r="25" spans="1:1" ht="45" x14ac:dyDescent="0.3">
      <c r="A25" s="16" t="s">
        <v>68</v>
      </c>
    </row>
    <row r="29" spans="1:1" ht="60" x14ac:dyDescent="0.3">
      <c r="A29" s="16" t="s">
        <v>59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40" zoomScaleNormal="100" workbookViewId="0">
      <selection activeCell="A24" sqref="A24"/>
    </sheetView>
  </sheetViews>
  <sheetFormatPr defaultRowHeight="15" x14ac:dyDescent="0.3"/>
  <cols>
    <col min="1" max="1" width="34.28515625" style="5" bestFit="1" customWidth="1"/>
    <col min="2" max="11" width="14.7109375" style="5" bestFit="1" customWidth="1"/>
    <col min="12" max="16384" width="9.140625" style="5"/>
  </cols>
  <sheetData>
    <row r="1" spans="1:11" x14ac:dyDescent="0.3">
      <c r="A1" s="6"/>
      <c r="B1" s="13" t="s">
        <v>39</v>
      </c>
      <c r="C1" s="14" t="s">
        <v>40</v>
      </c>
      <c r="D1" s="15" t="s">
        <v>47</v>
      </c>
      <c r="E1" s="9"/>
      <c r="F1" s="9"/>
      <c r="G1" s="9"/>
      <c r="H1" s="9"/>
      <c r="I1" s="9"/>
      <c r="J1" s="9"/>
      <c r="K1" s="9"/>
    </row>
    <row r="2" spans="1:11" x14ac:dyDescent="0.3">
      <c r="A2" s="6"/>
      <c r="B2" s="8" t="s">
        <v>41</v>
      </c>
      <c r="C2" s="8" t="s">
        <v>42</v>
      </c>
      <c r="D2" s="26" t="s">
        <v>43</v>
      </c>
      <c r="E2" s="8" t="s">
        <v>44</v>
      </c>
      <c r="F2" s="8" t="s">
        <v>45</v>
      </c>
      <c r="G2" s="8" t="s">
        <v>46</v>
      </c>
      <c r="H2" s="8" t="s">
        <v>48</v>
      </c>
      <c r="I2" s="8" t="s">
        <v>49</v>
      </c>
      <c r="J2" s="8" t="s">
        <v>50</v>
      </c>
      <c r="K2" s="8" t="s">
        <v>51</v>
      </c>
    </row>
    <row r="3" spans="1:11" s="23" customFormat="1" x14ac:dyDescent="0.3">
      <c r="A3" s="21" t="s">
        <v>52</v>
      </c>
      <c r="B3" s="22">
        <f>144/0.2</f>
        <v>720</v>
      </c>
      <c r="C3" s="22"/>
      <c r="D3" s="23">
        <f>88/0.1</f>
        <v>880</v>
      </c>
      <c r="E3" s="22">
        <f>73.95/0.1</f>
        <v>739.5</v>
      </c>
      <c r="F3" s="22">
        <f>192/0.2</f>
        <v>960</v>
      </c>
      <c r="G3" s="23">
        <f>175.86/0.2</f>
        <v>879.30000000000007</v>
      </c>
      <c r="H3" s="22">
        <f>173.85/0.2</f>
        <v>869.24999999999989</v>
      </c>
      <c r="I3" s="22">
        <f>408/1</f>
        <v>408</v>
      </c>
      <c r="J3" s="23">
        <f>107/0.1</f>
        <v>1070</v>
      </c>
      <c r="K3" s="22">
        <f>369/0.2</f>
        <v>1845</v>
      </c>
    </row>
    <row r="4" spans="1:11" x14ac:dyDescent="0.3">
      <c r="A4" s="18" t="s">
        <v>22</v>
      </c>
      <c r="B4" s="6">
        <v>723.29</v>
      </c>
      <c r="C4" s="6"/>
      <c r="D4" s="6">
        <v>783.23</v>
      </c>
      <c r="E4" s="6">
        <v>592</v>
      </c>
      <c r="F4" s="6">
        <v>755.26</v>
      </c>
      <c r="G4" s="5">
        <v>697.32</v>
      </c>
      <c r="H4" s="6">
        <f>712.5</f>
        <v>712.5</v>
      </c>
      <c r="I4" s="6">
        <v>618</v>
      </c>
      <c r="J4" s="6">
        <v>687.75</v>
      </c>
      <c r="K4" s="6">
        <v>1259</v>
      </c>
    </row>
    <row r="5" spans="1:11" x14ac:dyDescent="0.3">
      <c r="A5" s="18" t="s">
        <v>23</v>
      </c>
      <c r="B5" s="6">
        <v>698.01</v>
      </c>
      <c r="C5" s="6"/>
      <c r="D5" s="6">
        <v>632.03</v>
      </c>
      <c r="E5" s="6">
        <v>497.39</v>
      </c>
      <c r="F5" s="6">
        <v>608.12</v>
      </c>
      <c r="G5" s="5">
        <v>593.62</v>
      </c>
      <c r="H5" s="6">
        <v>602.47</v>
      </c>
      <c r="I5" s="6">
        <v>499.56</v>
      </c>
      <c r="J5" s="6">
        <v>631.6</v>
      </c>
      <c r="K5" s="6">
        <v>1059.07</v>
      </c>
    </row>
    <row r="6" spans="1:11" x14ac:dyDescent="0.3">
      <c r="A6" s="18" t="s">
        <v>26</v>
      </c>
      <c r="B6" s="6" t="s">
        <v>75</v>
      </c>
      <c r="C6" s="6"/>
      <c r="D6" s="6" t="s">
        <v>75</v>
      </c>
      <c r="E6" s="6">
        <v>507.78</v>
      </c>
      <c r="F6" s="6">
        <v>648.84</v>
      </c>
      <c r="G6" s="6">
        <v>593.48</v>
      </c>
      <c r="H6" s="6">
        <v>619.84</v>
      </c>
      <c r="I6" s="6">
        <v>675.68</v>
      </c>
      <c r="J6" s="6">
        <v>538.48</v>
      </c>
      <c r="K6" s="6">
        <v>1060.1300000000001</v>
      </c>
    </row>
    <row r="7" spans="1:11" x14ac:dyDescent="0.3">
      <c r="A7" s="18" t="s">
        <v>27</v>
      </c>
      <c r="B7" s="6">
        <v>81</v>
      </c>
      <c r="C7" s="6"/>
      <c r="D7" s="6">
        <v>62</v>
      </c>
      <c r="E7" s="6">
        <v>46.44</v>
      </c>
      <c r="F7" s="6">
        <v>55</v>
      </c>
      <c r="G7" s="6">
        <v>62</v>
      </c>
      <c r="H7" s="5">
        <v>50.96</v>
      </c>
      <c r="I7" s="5">
        <v>46</v>
      </c>
      <c r="J7" s="6">
        <v>47.98</v>
      </c>
      <c r="K7" s="6">
        <v>123</v>
      </c>
    </row>
    <row r="8" spans="1:11" x14ac:dyDescent="0.3">
      <c r="A8" s="18" t="s">
        <v>65</v>
      </c>
      <c r="B8" s="6" t="s">
        <v>75</v>
      </c>
      <c r="C8" s="6"/>
      <c r="D8" s="6" t="s">
        <v>75</v>
      </c>
      <c r="E8" s="6" t="s">
        <v>75</v>
      </c>
      <c r="F8" s="6" t="s">
        <v>75</v>
      </c>
      <c r="G8" s="6" t="s">
        <v>75</v>
      </c>
      <c r="H8" s="6" t="s">
        <v>75</v>
      </c>
      <c r="I8" s="6" t="s">
        <v>75</v>
      </c>
      <c r="J8" s="6" t="s">
        <v>75</v>
      </c>
      <c r="K8" s="6" t="s">
        <v>75</v>
      </c>
    </row>
    <row r="9" spans="1:11" x14ac:dyDescent="0.3">
      <c r="A9" s="18" t="s">
        <v>69</v>
      </c>
      <c r="B9" s="6" t="s">
        <v>76</v>
      </c>
      <c r="C9" s="6"/>
      <c r="D9" s="6" t="s">
        <v>76</v>
      </c>
      <c r="E9" s="6" t="s">
        <v>76</v>
      </c>
      <c r="F9" s="6" t="s">
        <v>76</v>
      </c>
      <c r="G9" s="6" t="s">
        <v>76</v>
      </c>
      <c r="H9" s="6" t="s">
        <v>76</v>
      </c>
      <c r="I9" s="6" t="s">
        <v>76</v>
      </c>
      <c r="J9" s="6" t="s">
        <v>76</v>
      </c>
      <c r="K9" s="6" t="s">
        <v>76</v>
      </c>
    </row>
    <row r="10" spans="1:11" x14ac:dyDescent="0.3">
      <c r="A10" s="18" t="s">
        <v>74</v>
      </c>
      <c r="B10" s="6"/>
      <c r="C10" s="6"/>
      <c r="D10" s="6"/>
      <c r="E10" s="6"/>
      <c r="F10" s="6"/>
      <c r="G10" s="6"/>
      <c r="H10" s="6"/>
      <c r="I10" s="6"/>
      <c r="J10" s="6"/>
      <c r="K10" s="6"/>
    </row>
    <row r="11" spans="1:11" x14ac:dyDescent="0.3">
      <c r="B11" s="6"/>
      <c r="C11" s="6"/>
      <c r="D11" s="6"/>
      <c r="E11" s="6"/>
      <c r="F11" s="6"/>
      <c r="G11" s="6"/>
      <c r="H11" s="6"/>
      <c r="I11" s="6"/>
      <c r="J11" s="6"/>
      <c r="K11" s="6"/>
    </row>
    <row r="12" spans="1:11" s="23" customFormat="1" x14ac:dyDescent="0.3">
      <c r="A12" s="24" t="s">
        <v>53</v>
      </c>
      <c r="B12" s="22">
        <f>271/1</f>
        <v>271</v>
      </c>
      <c r="C12" s="22"/>
      <c r="D12" s="22">
        <f>291.79/0.5</f>
        <v>583.58000000000004</v>
      </c>
      <c r="E12" s="22">
        <f>278/0.5</f>
        <v>556</v>
      </c>
      <c r="F12" s="22">
        <f>303.78/0.5</f>
        <v>607.55999999999995</v>
      </c>
      <c r="G12" s="22">
        <f>271/0.5</f>
        <v>542</v>
      </c>
      <c r="H12" s="22">
        <f>267.8/0.5</f>
        <v>535.6</v>
      </c>
      <c r="I12" s="22">
        <f>222/1</f>
        <v>222</v>
      </c>
      <c r="J12" s="22">
        <f>250/0.5</f>
        <v>500</v>
      </c>
      <c r="K12" s="22">
        <f>492/0.5</f>
        <v>984</v>
      </c>
    </row>
    <row r="13" spans="1:11" x14ac:dyDescent="0.3">
      <c r="A13" s="18" t="s">
        <v>21</v>
      </c>
      <c r="B13" s="5">
        <v>62.68</v>
      </c>
      <c r="C13" s="6"/>
      <c r="D13" s="6" t="s">
        <v>75</v>
      </c>
      <c r="E13" s="6">
        <v>50.91</v>
      </c>
      <c r="F13" s="6">
        <v>54.1</v>
      </c>
      <c r="G13" s="6">
        <v>66.040000000000006</v>
      </c>
      <c r="H13" s="6">
        <v>62.29</v>
      </c>
      <c r="I13" s="6" t="s">
        <v>75</v>
      </c>
      <c r="J13" s="6">
        <v>54.45</v>
      </c>
      <c r="K13" s="6">
        <v>89.11</v>
      </c>
    </row>
    <row r="14" spans="1:11" x14ac:dyDescent="0.3">
      <c r="A14" s="18" t="s">
        <v>31</v>
      </c>
      <c r="B14" s="5">
        <v>40.700000000000003</v>
      </c>
      <c r="C14" s="6"/>
      <c r="D14" s="6">
        <v>46.49</v>
      </c>
      <c r="E14" s="6">
        <v>35.369999999999997</v>
      </c>
      <c r="F14" s="6">
        <v>34.53</v>
      </c>
      <c r="G14" s="6">
        <v>46.53</v>
      </c>
      <c r="H14" s="5">
        <v>47.01</v>
      </c>
      <c r="I14" s="6" t="s">
        <v>75</v>
      </c>
      <c r="J14" s="6">
        <v>37.64</v>
      </c>
      <c r="K14" s="6">
        <v>74.47</v>
      </c>
    </row>
    <row r="15" spans="1:11" x14ac:dyDescent="0.3">
      <c r="A15" s="18" t="s">
        <v>24</v>
      </c>
      <c r="B15" s="6" t="s">
        <v>75</v>
      </c>
      <c r="C15" s="6"/>
      <c r="D15" s="6" t="s">
        <v>75</v>
      </c>
      <c r="E15" s="6" t="s">
        <v>75</v>
      </c>
      <c r="F15" s="6" t="s">
        <v>75</v>
      </c>
      <c r="G15" s="6" t="s">
        <v>75</v>
      </c>
      <c r="H15" s="6" t="s">
        <v>75</v>
      </c>
      <c r="I15" s="6" t="s">
        <v>75</v>
      </c>
      <c r="J15" s="6" t="s">
        <v>75</v>
      </c>
      <c r="K15" s="6" t="s">
        <v>75</v>
      </c>
    </row>
    <row r="16" spans="1:11" x14ac:dyDescent="0.3">
      <c r="A16" s="18" t="s">
        <v>28</v>
      </c>
      <c r="B16" s="6" t="s">
        <v>75</v>
      </c>
      <c r="C16" s="6"/>
      <c r="D16" s="6" t="s">
        <v>75</v>
      </c>
      <c r="E16" s="6" t="s">
        <v>75</v>
      </c>
      <c r="F16" s="6" t="s">
        <v>75</v>
      </c>
      <c r="G16" s="6" t="s">
        <v>75</v>
      </c>
      <c r="H16" s="6" t="s">
        <v>75</v>
      </c>
      <c r="I16" s="6" t="s">
        <v>75</v>
      </c>
      <c r="J16" s="6" t="s">
        <v>75</v>
      </c>
      <c r="K16" s="6" t="s">
        <v>75</v>
      </c>
    </row>
    <row r="17" spans="1:11" x14ac:dyDescent="0.3">
      <c r="A17" s="18" t="s">
        <v>30</v>
      </c>
      <c r="B17" s="6">
        <v>463.56</v>
      </c>
      <c r="C17" s="6"/>
      <c r="D17" s="6">
        <v>487.64</v>
      </c>
      <c r="E17" s="6">
        <v>526.15</v>
      </c>
      <c r="F17" s="6">
        <v>507.75</v>
      </c>
      <c r="G17" s="6">
        <v>521.79</v>
      </c>
      <c r="H17" s="6">
        <v>443.78</v>
      </c>
      <c r="I17" s="6">
        <v>375.93</v>
      </c>
      <c r="J17" s="6">
        <v>375.41</v>
      </c>
      <c r="K17" s="6">
        <v>774.9</v>
      </c>
    </row>
    <row r="18" spans="1:11" x14ac:dyDescent="0.3">
      <c r="A18" s="18" t="s">
        <v>58</v>
      </c>
      <c r="B18" s="6" t="s">
        <v>75</v>
      </c>
      <c r="C18" s="6"/>
      <c r="D18" s="6">
        <v>425.26</v>
      </c>
      <c r="E18" s="17">
        <v>396.31</v>
      </c>
      <c r="F18" s="6">
        <v>437.44</v>
      </c>
      <c r="G18" s="6">
        <v>467.17</v>
      </c>
      <c r="H18" s="6" t="s">
        <v>75</v>
      </c>
      <c r="I18" s="6">
        <v>354.32</v>
      </c>
      <c r="J18" s="6">
        <v>355.88</v>
      </c>
      <c r="K18" s="6">
        <v>703.58</v>
      </c>
    </row>
    <row r="19" spans="1:11" x14ac:dyDescent="0.3">
      <c r="A19" s="27" t="s">
        <v>77</v>
      </c>
      <c r="B19" s="6">
        <v>565.16</v>
      </c>
      <c r="C19" s="6"/>
      <c r="D19" s="6">
        <v>421.8</v>
      </c>
      <c r="E19" s="17">
        <v>424.29</v>
      </c>
      <c r="F19" s="6">
        <v>452.16</v>
      </c>
      <c r="G19" s="6">
        <v>546.6</v>
      </c>
      <c r="H19" s="6">
        <v>511.75</v>
      </c>
      <c r="I19" s="5">
        <v>315.36</v>
      </c>
      <c r="J19" s="6">
        <v>462.92</v>
      </c>
      <c r="K19" s="6">
        <v>846.78</v>
      </c>
    </row>
    <row r="20" spans="1:11" x14ac:dyDescent="0.3">
      <c r="A20" s="18" t="s">
        <v>72</v>
      </c>
      <c r="B20" s="6"/>
      <c r="C20" s="6"/>
      <c r="D20" s="6"/>
      <c r="E20" s="17"/>
      <c r="F20" s="6"/>
      <c r="G20" s="6"/>
      <c r="H20" s="6"/>
      <c r="I20" s="6"/>
      <c r="J20" s="6"/>
      <c r="K20" s="6"/>
    </row>
    <row r="21" spans="1:11" x14ac:dyDescent="0.3">
      <c r="A21" s="25" t="s">
        <v>70</v>
      </c>
      <c r="B21" s="6"/>
      <c r="C21" s="6"/>
      <c r="D21" s="6"/>
      <c r="E21" s="17"/>
      <c r="F21" s="6"/>
      <c r="G21" s="6"/>
      <c r="H21" s="6"/>
      <c r="I21" s="6"/>
      <c r="J21" s="6"/>
      <c r="K21" s="6"/>
    </row>
    <row r="22" spans="1:11" x14ac:dyDescent="0.3">
      <c r="A22" s="25" t="s">
        <v>71</v>
      </c>
      <c r="B22" s="6"/>
      <c r="C22" s="6"/>
      <c r="D22" s="6"/>
      <c r="E22" s="17"/>
      <c r="F22" s="6"/>
      <c r="G22" s="6"/>
      <c r="H22" s="6"/>
      <c r="I22" s="6"/>
      <c r="J22" s="6"/>
      <c r="K22" s="6"/>
    </row>
    <row r="23" spans="1:11" x14ac:dyDescent="0.3">
      <c r="A23" s="18" t="s">
        <v>60</v>
      </c>
      <c r="B23" s="6"/>
      <c r="C23" s="6"/>
      <c r="D23" s="6"/>
      <c r="E23" s="17"/>
      <c r="F23" s="6"/>
      <c r="G23" s="6"/>
      <c r="H23" s="6"/>
      <c r="I23" s="6"/>
      <c r="J23" s="6"/>
      <c r="K23" s="6"/>
    </row>
    <row r="24" spans="1:11" x14ac:dyDescent="0.3">
      <c r="A24" s="18" t="s">
        <v>62</v>
      </c>
      <c r="B24" s="6"/>
      <c r="C24" s="6"/>
      <c r="D24" s="6"/>
      <c r="E24" s="17"/>
      <c r="F24" s="6"/>
      <c r="G24" s="6"/>
      <c r="H24" s="6"/>
      <c r="I24" s="6"/>
      <c r="J24" s="6"/>
      <c r="K24" s="6"/>
    </row>
    <row r="25" spans="1:11" x14ac:dyDescent="0.3">
      <c r="A25" s="18" t="s">
        <v>63</v>
      </c>
      <c r="B25" s="6"/>
      <c r="C25" s="6"/>
      <c r="D25" s="6"/>
      <c r="E25" s="17"/>
      <c r="F25" s="6"/>
      <c r="G25" s="6"/>
      <c r="H25" s="6"/>
      <c r="I25" s="6"/>
      <c r="J25" s="6"/>
      <c r="K25" s="6"/>
    </row>
    <row r="26" spans="1:11" x14ac:dyDescent="0.3">
      <c r="A26" s="18" t="s">
        <v>64</v>
      </c>
      <c r="B26" s="6"/>
      <c r="C26" s="6"/>
      <c r="D26" s="6"/>
      <c r="E26" s="17"/>
      <c r="F26" s="6"/>
      <c r="G26" s="6"/>
      <c r="H26" s="6"/>
      <c r="I26" s="6"/>
      <c r="J26" s="6"/>
      <c r="K26" s="6"/>
    </row>
    <row r="27" spans="1:11" x14ac:dyDescent="0.3">
      <c r="A27" s="18" t="s">
        <v>73</v>
      </c>
      <c r="B27" s="6"/>
      <c r="C27" s="6"/>
      <c r="D27" s="6"/>
      <c r="E27" s="17"/>
      <c r="F27" s="6"/>
      <c r="G27" s="6"/>
      <c r="H27" s="6"/>
      <c r="I27" s="6"/>
      <c r="J27" s="6"/>
      <c r="K27" s="6"/>
    </row>
    <row r="28" spans="1:11" x14ac:dyDescent="0.3">
      <c r="A28" s="18" t="s">
        <v>74</v>
      </c>
      <c r="B28" s="6"/>
      <c r="C28" s="6"/>
      <c r="D28" s="6"/>
      <c r="E28" s="17"/>
      <c r="F28" s="6"/>
      <c r="G28" s="6"/>
      <c r="H28" s="6"/>
      <c r="I28" s="6"/>
      <c r="J28" s="6"/>
      <c r="K28" s="6"/>
    </row>
    <row r="29" spans="1:11" x14ac:dyDescent="0.3">
      <c r="B29" s="6"/>
      <c r="C29" s="6"/>
      <c r="D29" s="6"/>
      <c r="E29" s="6"/>
      <c r="F29" s="6"/>
      <c r="G29" s="6"/>
      <c r="H29" s="6"/>
      <c r="I29" s="6"/>
      <c r="J29" s="6"/>
      <c r="K29" s="6"/>
    </row>
    <row r="30" spans="1:11" s="23" customFormat="1" x14ac:dyDescent="0.3">
      <c r="A30" s="24" t="s">
        <v>54</v>
      </c>
      <c r="B30" s="22"/>
      <c r="C30" s="22"/>
      <c r="D30" s="22"/>
      <c r="E30" s="22"/>
      <c r="F30" s="22"/>
      <c r="G30" s="22"/>
      <c r="H30" s="22"/>
      <c r="I30" s="22"/>
      <c r="J30" s="22"/>
      <c r="K30" s="22"/>
    </row>
    <row r="31" spans="1:11" x14ac:dyDescent="0.3">
      <c r="A31" s="18" t="s">
        <v>25</v>
      </c>
      <c r="B31" s="6"/>
      <c r="C31" s="6"/>
      <c r="D31" s="6"/>
      <c r="E31" s="6"/>
      <c r="F31" s="6"/>
      <c r="G31" s="6"/>
      <c r="H31" s="6"/>
      <c r="I31" s="6"/>
      <c r="J31" s="6"/>
      <c r="K31" s="6"/>
    </row>
    <row r="32" spans="1:11" x14ac:dyDescent="0.3">
      <c r="B32" s="6"/>
      <c r="C32" s="6"/>
      <c r="D32" s="6"/>
      <c r="E32" s="6"/>
      <c r="F32" s="6"/>
      <c r="G32" s="6"/>
      <c r="H32" s="6"/>
      <c r="I32" s="6"/>
      <c r="J32" s="6"/>
      <c r="K32" s="6"/>
    </row>
    <row r="33" spans="1:11" s="23" customFormat="1" x14ac:dyDescent="0.3">
      <c r="A33" s="24" t="s">
        <v>55</v>
      </c>
      <c r="B33" s="22"/>
      <c r="C33" s="22"/>
      <c r="D33" s="22"/>
      <c r="E33" s="22"/>
      <c r="F33" s="22"/>
      <c r="G33" s="22"/>
      <c r="H33" s="22"/>
      <c r="I33" s="22"/>
      <c r="J33" s="22"/>
      <c r="K33" s="22"/>
    </row>
    <row r="34" spans="1:11" x14ac:dyDescent="0.3">
      <c r="A34" s="18" t="s">
        <v>29</v>
      </c>
    </row>
    <row r="35" spans="1:11" x14ac:dyDescent="0.3">
      <c r="A35" s="18" t="s">
        <v>61</v>
      </c>
    </row>
    <row r="36" spans="1:11" x14ac:dyDescent="0.3">
      <c r="A36" s="18" t="s">
        <v>66</v>
      </c>
    </row>
    <row r="38" spans="1:11" s="23" customFormat="1" x14ac:dyDescent="0.3">
      <c r="A38" s="24" t="s">
        <v>56</v>
      </c>
    </row>
    <row r="39" spans="1:11" x14ac:dyDescent="0.3">
      <c r="A39" s="18" t="s">
        <v>32</v>
      </c>
    </row>
    <row r="40" spans="1:11" x14ac:dyDescent="0.3">
      <c r="A40" s="18" t="s">
        <v>33</v>
      </c>
    </row>
    <row r="41" spans="1:11" x14ac:dyDescent="0.3">
      <c r="A41" s="18" t="s">
        <v>34</v>
      </c>
    </row>
    <row r="42" spans="1:11" x14ac:dyDescent="0.3">
      <c r="A42" s="18" t="s">
        <v>35</v>
      </c>
    </row>
    <row r="43" spans="1:11" x14ac:dyDescent="0.3">
      <c r="A43" s="18" t="s">
        <v>36</v>
      </c>
    </row>
    <row r="44" spans="1:11" x14ac:dyDescent="0.3">
      <c r="A44" s="18" t="s">
        <v>37</v>
      </c>
    </row>
    <row r="45" spans="1:11" x14ac:dyDescent="0.3">
      <c r="A45" s="18" t="s">
        <v>38</v>
      </c>
    </row>
    <row r="47" spans="1:11" ht="60" x14ac:dyDescent="0.3">
      <c r="A47" s="19" t="s">
        <v>13</v>
      </c>
    </row>
    <row r="48" spans="1:11" x14ac:dyDescent="0.3">
      <c r="A48" s="19" t="s">
        <v>14</v>
      </c>
    </row>
    <row r="49" spans="1:1" x14ac:dyDescent="0.3">
      <c r="A49" s="19" t="s">
        <v>15</v>
      </c>
    </row>
    <row r="50" spans="1:1" x14ac:dyDescent="0.3">
      <c r="A50" s="19" t="s">
        <v>16</v>
      </c>
    </row>
    <row r="51" spans="1:1" ht="30" x14ac:dyDescent="0.3">
      <c r="A51" s="19" t="s">
        <v>17</v>
      </c>
    </row>
    <row r="52" spans="1:1" ht="45" x14ac:dyDescent="0.3">
      <c r="A52" s="19" t="s">
        <v>18</v>
      </c>
    </row>
    <row r="53" spans="1:1" ht="30" x14ac:dyDescent="0.3">
      <c r="A53" s="19" t="s">
        <v>19</v>
      </c>
    </row>
    <row r="54" spans="1:1" ht="30.75" thickBot="1" x14ac:dyDescent="0.35">
      <c r="A54" s="20" t="s">
        <v>20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opLeftCell="A25" workbookViewId="0">
      <selection activeCell="G26" sqref="G26"/>
    </sheetView>
  </sheetViews>
  <sheetFormatPr defaultRowHeight="15" x14ac:dyDescent="0.3"/>
  <cols>
    <col min="1" max="1" width="34.28515625" style="5" bestFit="1" customWidth="1"/>
    <col min="2" max="11" width="14.7109375" style="5" bestFit="1" customWidth="1"/>
    <col min="12" max="16384" width="9.140625" style="5"/>
  </cols>
  <sheetData>
    <row r="1" spans="1:11" x14ac:dyDescent="0.3">
      <c r="A1" s="6"/>
      <c r="B1" s="13" t="s">
        <v>39</v>
      </c>
      <c r="C1" s="14" t="s">
        <v>40</v>
      </c>
      <c r="D1" s="15" t="s">
        <v>47</v>
      </c>
      <c r="E1" s="9"/>
      <c r="F1" s="9"/>
      <c r="G1" s="9"/>
      <c r="H1" s="9"/>
      <c r="I1" s="9"/>
      <c r="J1" s="9"/>
      <c r="K1" s="9"/>
    </row>
    <row r="2" spans="1:11" x14ac:dyDescent="0.3">
      <c r="A2" s="6"/>
      <c r="B2" s="8" t="s">
        <v>41</v>
      </c>
      <c r="C2" s="8" t="s">
        <v>42</v>
      </c>
      <c r="D2" s="8" t="s">
        <v>43</v>
      </c>
      <c r="E2" s="8" t="s">
        <v>44</v>
      </c>
      <c r="F2" s="8" t="s">
        <v>45</v>
      </c>
      <c r="G2" s="8" t="s">
        <v>46</v>
      </c>
      <c r="H2" s="8" t="s">
        <v>48</v>
      </c>
      <c r="I2" s="8" t="s">
        <v>49</v>
      </c>
      <c r="J2" s="8" t="s">
        <v>50</v>
      </c>
      <c r="K2" s="8" t="s">
        <v>51</v>
      </c>
    </row>
    <row r="3" spans="1:11" x14ac:dyDescent="0.3">
      <c r="A3" s="11" t="s">
        <v>52</v>
      </c>
      <c r="B3" s="10"/>
      <c r="C3" s="10"/>
      <c r="D3" s="10"/>
      <c r="E3" s="10"/>
      <c r="F3" s="10"/>
      <c r="G3" s="10"/>
      <c r="H3" s="10"/>
      <c r="I3" s="10"/>
      <c r="J3" s="10"/>
      <c r="K3" s="10"/>
    </row>
    <row r="4" spans="1:11" x14ac:dyDescent="0.3">
      <c r="A4" s="7" t="s">
        <v>22</v>
      </c>
      <c r="B4" s="6">
        <f>measurements!B4/measurements!$B$3</f>
        <v>1.0045694444444444</v>
      </c>
      <c r="C4" s="6" t="e">
        <f>measurements!C4/measurements!$C$3</f>
        <v>#DIV/0!</v>
      </c>
      <c r="D4" s="6">
        <f>measurements!D4/measurements!$D$3</f>
        <v>0.89003409090909091</v>
      </c>
      <c r="E4" s="6">
        <f>measurements!E4/measurements!$E$3</f>
        <v>0.80054090601757943</v>
      </c>
      <c r="F4" s="6">
        <f>measurements!F4/measurements!$F$3</f>
        <v>0.7867291666666667</v>
      </c>
      <c r="G4" s="6">
        <f>measurements!G4/measurements!$G$3</f>
        <v>0.79303991811668373</v>
      </c>
      <c r="H4" s="6">
        <f>measurements!H4/measurements!$H$3</f>
        <v>0.81967213114754112</v>
      </c>
      <c r="I4" s="6">
        <f>measurements!I4/measurements!$I$3</f>
        <v>1.5147058823529411</v>
      </c>
      <c r="J4" s="6">
        <f>measurements!J4/measurements!$J$3</f>
        <v>0.64275700934579438</v>
      </c>
      <c r="K4" s="6">
        <f>measurements!K4/measurements!$K$3</f>
        <v>0.68238482384823851</v>
      </c>
    </row>
    <row r="5" spans="1:11" x14ac:dyDescent="0.3">
      <c r="A5" s="7" t="s">
        <v>23</v>
      </c>
      <c r="B5" s="6">
        <f>measurements!B5/measurements!$B$3</f>
        <v>0.96945833333333331</v>
      </c>
      <c r="C5" s="6" t="e">
        <f>measurements!C5/measurements!$C$3</f>
        <v>#DIV/0!</v>
      </c>
      <c r="D5" s="6">
        <f>measurements!D5/measurements!$D$3</f>
        <v>0.71821590909090904</v>
      </c>
      <c r="E5" s="6">
        <f>measurements!E5/measurements!$E$3</f>
        <v>0.67260311020960106</v>
      </c>
      <c r="F5" s="6">
        <f>measurements!F5/measurements!$F$3</f>
        <v>0.63345833333333335</v>
      </c>
      <c r="G5" s="6">
        <f>measurements!G5/measurements!$G$3</f>
        <v>0.67510519731604679</v>
      </c>
      <c r="H5" s="6">
        <f>measurements!H5/measurements!$H$3</f>
        <v>0.69309174575783739</v>
      </c>
      <c r="I5" s="6">
        <f>measurements!I5/measurements!$I$3</f>
        <v>1.2244117647058823</v>
      </c>
      <c r="J5" s="6">
        <f>measurements!J5/measurements!$J$3</f>
        <v>0.59028037383177567</v>
      </c>
      <c r="K5" s="6">
        <f>measurements!K5/measurements!$K$3</f>
        <v>0.57402168021680211</v>
      </c>
    </row>
    <row r="6" spans="1:11" x14ac:dyDescent="0.3">
      <c r="A6" s="7" t="s">
        <v>26</v>
      </c>
      <c r="B6" s="6" t="e">
        <f>measurements!B6/measurements!$B$3</f>
        <v>#VALUE!</v>
      </c>
      <c r="C6" s="6" t="e">
        <f>measurements!C6/measurements!$C$3</f>
        <v>#DIV/0!</v>
      </c>
      <c r="D6" s="6" t="e">
        <f>measurements!D6/measurements!$D$3</f>
        <v>#VALUE!</v>
      </c>
      <c r="E6" s="6">
        <f>measurements!E6/measurements!$E$3</f>
        <v>0.68665314401622712</v>
      </c>
      <c r="F6" s="6">
        <f>measurements!F6/measurements!$F$3</f>
        <v>0.675875</v>
      </c>
      <c r="G6" s="6">
        <f>measurements!G6/measurements!$G$3</f>
        <v>0.67494597975662451</v>
      </c>
      <c r="H6" s="6">
        <f>measurements!H6/measurements!$H$3</f>
        <v>0.71307448950244479</v>
      </c>
      <c r="I6" s="6">
        <f>measurements!I6/measurements!$I$3</f>
        <v>1.656078431372549</v>
      </c>
      <c r="J6" s="6">
        <f>measurements!J6/measurements!$J$3</f>
        <v>0.50325233644859813</v>
      </c>
      <c r="K6" s="6">
        <f>measurements!K6/measurements!$K$3</f>
        <v>0.57459620596205963</v>
      </c>
    </row>
    <row r="7" spans="1:11" x14ac:dyDescent="0.3">
      <c r="A7" s="7" t="s">
        <v>27</v>
      </c>
      <c r="B7" s="6">
        <f>measurements!B7/measurements!$B$3</f>
        <v>0.1125</v>
      </c>
      <c r="C7" s="6" t="e">
        <f>measurements!C7/measurements!$C$3</f>
        <v>#DIV/0!</v>
      </c>
      <c r="D7" s="6">
        <f>measurements!D7/measurements!$D$3</f>
        <v>7.045454545454545E-2</v>
      </c>
      <c r="E7" s="6">
        <f>measurements!E7/measurements!$E$3</f>
        <v>6.2799188640973627E-2</v>
      </c>
      <c r="F7" s="6">
        <f>measurements!F7/measurements!$F$3</f>
        <v>5.7291666666666664E-2</v>
      </c>
      <c r="G7" s="6">
        <f>measurements!G7/measurements!$G$3</f>
        <v>7.0510633458432836E-2</v>
      </c>
      <c r="H7" s="6">
        <f>measurements!H7/measurements!$H$3</f>
        <v>5.8625251653724481E-2</v>
      </c>
      <c r="I7" s="6">
        <f>measurements!I7/measurements!$I$3</f>
        <v>0.11274509803921569</v>
      </c>
      <c r="J7" s="6">
        <f>measurements!J7/measurements!$J$3</f>
        <v>4.4841121495327096E-2</v>
      </c>
      <c r="K7" s="6">
        <f>measurements!K7/measurements!$K$3</f>
        <v>6.6666666666666666E-2</v>
      </c>
    </row>
    <row r="8" spans="1:11" x14ac:dyDescent="0.3">
      <c r="B8" s="6"/>
      <c r="C8" s="6"/>
      <c r="D8" s="6"/>
      <c r="E8" s="6"/>
      <c r="F8" s="6"/>
      <c r="G8" s="6"/>
      <c r="H8" s="6"/>
      <c r="I8" s="6"/>
      <c r="J8" s="6"/>
      <c r="K8" s="6"/>
    </row>
    <row r="9" spans="1:11" x14ac:dyDescent="0.3">
      <c r="A9" s="12" t="s">
        <v>53</v>
      </c>
      <c r="B9" s="6"/>
      <c r="C9" s="6"/>
      <c r="D9" s="6"/>
      <c r="E9" s="6"/>
      <c r="F9" s="6"/>
      <c r="G9" s="6"/>
      <c r="H9" s="6"/>
      <c r="I9" s="6"/>
      <c r="J9" s="6"/>
      <c r="K9" s="6"/>
    </row>
    <row r="10" spans="1:11" x14ac:dyDescent="0.3">
      <c r="A10" s="7" t="s">
        <v>21</v>
      </c>
      <c r="B10" s="6">
        <f>measurements!B$13/measurements!$B12</f>
        <v>0.23129151291512914</v>
      </c>
      <c r="C10" s="6" t="e">
        <f>measurements!C13/measurements!$C$12</f>
        <v>#DIV/0!</v>
      </c>
      <c r="D10" s="6" t="e">
        <f>measurements!D13/measurements!$D$12</f>
        <v>#VALUE!</v>
      </c>
      <c r="E10" s="6">
        <f>measurements!E13/measurements!$E$12</f>
        <v>9.1564748201438839E-2</v>
      </c>
      <c r="F10" s="6">
        <f>measurements!F13/measurements!$F$12</f>
        <v>8.9044703403779055E-2</v>
      </c>
      <c r="G10" s="6">
        <f>measurements!G13/measurements!$G$12</f>
        <v>0.12184501845018451</v>
      </c>
      <c r="H10" s="6">
        <f>measurements!H13/measurements!$H$12</f>
        <v>0.11629947722180731</v>
      </c>
      <c r="I10" s="6" t="e">
        <f>measurements!I13/measurements!$I$12</f>
        <v>#VALUE!</v>
      </c>
      <c r="J10" s="6">
        <f>measurements!J13/measurements!$J$12</f>
        <v>0.10890000000000001</v>
      </c>
      <c r="K10" s="6">
        <f>measurements!K13/measurements!$K$12</f>
        <v>9.0558943089430896E-2</v>
      </c>
    </row>
    <row r="11" spans="1:11" x14ac:dyDescent="0.3">
      <c r="A11" s="7" t="s">
        <v>31</v>
      </c>
      <c r="B11" s="6">
        <f>measurements!B$13/measurements!$B13</f>
        <v>1</v>
      </c>
      <c r="C11" s="6" t="e">
        <f>measurements!C14/measurements!$C$12</f>
        <v>#DIV/0!</v>
      </c>
      <c r="D11" s="6">
        <f>measurements!D14/measurements!$D$12</f>
        <v>7.9663456595496757E-2</v>
      </c>
      <c r="E11" s="6">
        <f>measurements!E14/measurements!$E$12</f>
        <v>6.3615107913669061E-2</v>
      </c>
      <c r="F11" s="6">
        <f>measurements!F14/measurements!$F$12</f>
        <v>5.6833892948844562E-2</v>
      </c>
      <c r="G11" s="6">
        <f>measurements!G14/measurements!$G$12</f>
        <v>8.5848708487084868E-2</v>
      </c>
      <c r="H11" s="6">
        <f>measurements!H14/measurements!$H$12</f>
        <v>8.7770724421209853E-2</v>
      </c>
      <c r="I11" s="6" t="e">
        <f>measurements!I14/measurements!$I$12</f>
        <v>#VALUE!</v>
      </c>
      <c r="J11" s="6">
        <f>measurements!J14/measurements!$J$12</f>
        <v>7.528E-2</v>
      </c>
      <c r="K11" s="6">
        <f>measurements!K14/measurements!$K$12</f>
        <v>7.5680894308943092E-2</v>
      </c>
    </row>
    <row r="12" spans="1:11" x14ac:dyDescent="0.3">
      <c r="A12" s="7" t="s">
        <v>24</v>
      </c>
      <c r="B12" s="6">
        <f>measurements!B$13/measurements!$B14</f>
        <v>1.5400491400491398</v>
      </c>
      <c r="C12" s="6" t="e">
        <f>measurements!C15/measurements!$C$12</f>
        <v>#DIV/0!</v>
      </c>
      <c r="D12" s="6" t="e">
        <f>measurements!D15/measurements!$D$12</f>
        <v>#VALUE!</v>
      </c>
      <c r="E12" s="6" t="e">
        <f>measurements!E15/measurements!$E$12</f>
        <v>#VALUE!</v>
      </c>
      <c r="F12" s="6" t="e">
        <f>measurements!F15/measurements!$F$12</f>
        <v>#VALUE!</v>
      </c>
      <c r="G12" s="6" t="e">
        <f>measurements!G15/measurements!$G$12</f>
        <v>#VALUE!</v>
      </c>
      <c r="H12" s="6" t="e">
        <f>measurements!H15/measurements!$H$12</f>
        <v>#VALUE!</v>
      </c>
      <c r="I12" s="6" t="e">
        <f>measurements!I15/measurements!$I$12</f>
        <v>#VALUE!</v>
      </c>
      <c r="J12" s="6" t="e">
        <f>measurements!J15/measurements!$J$12</f>
        <v>#VALUE!</v>
      </c>
      <c r="K12" s="6" t="e">
        <f>measurements!K15/measurements!$K$12</f>
        <v>#VALUE!</v>
      </c>
    </row>
    <row r="13" spans="1:11" x14ac:dyDescent="0.3">
      <c r="A13" s="7" t="s">
        <v>28</v>
      </c>
      <c r="B13" s="6" t="e">
        <f>measurements!B$13/measurements!$B15</f>
        <v>#VALUE!</v>
      </c>
      <c r="C13" s="6" t="e">
        <f>measurements!C16/measurements!$C$12</f>
        <v>#DIV/0!</v>
      </c>
      <c r="D13" s="6" t="e">
        <f>measurements!D16/measurements!$D$12</f>
        <v>#VALUE!</v>
      </c>
      <c r="E13" s="6" t="e">
        <f>measurements!E16/measurements!$E$12</f>
        <v>#VALUE!</v>
      </c>
      <c r="F13" s="6" t="e">
        <f>measurements!F16/measurements!$F$12</f>
        <v>#VALUE!</v>
      </c>
      <c r="G13" s="6" t="e">
        <f>measurements!G16/measurements!$G$12</f>
        <v>#VALUE!</v>
      </c>
      <c r="H13" s="6" t="e">
        <f>measurements!H16/measurements!$H$12</f>
        <v>#VALUE!</v>
      </c>
      <c r="I13" s="6" t="e">
        <f>measurements!I16/measurements!$I$12</f>
        <v>#VALUE!</v>
      </c>
      <c r="J13" s="6" t="e">
        <f>measurements!J16/measurements!$J$12</f>
        <v>#VALUE!</v>
      </c>
      <c r="K13" s="6" t="e">
        <f>measurements!K16/measurements!$K$12</f>
        <v>#VALUE!</v>
      </c>
    </row>
    <row r="14" spans="1:11" x14ac:dyDescent="0.3">
      <c r="A14" s="7" t="s">
        <v>30</v>
      </c>
      <c r="B14" s="6" t="e">
        <f>measurements!B$13/measurements!$B16</f>
        <v>#VALUE!</v>
      </c>
      <c r="C14" s="6" t="e">
        <f>measurements!C17/measurements!$C$12</f>
        <v>#DIV/0!</v>
      </c>
      <c r="D14" s="6">
        <f>measurements!D17/measurements!$D$12</f>
        <v>0.83560094588573963</v>
      </c>
      <c r="E14" s="6">
        <f>measurements!E17/measurements!$E$12</f>
        <v>0.94631294964028778</v>
      </c>
      <c r="F14" s="6">
        <f>measurements!F17/measurements!$F$12</f>
        <v>0.83571992889591162</v>
      </c>
      <c r="G14" s="6">
        <f>measurements!G17/measurements!$G$12</f>
        <v>0.96271217712177115</v>
      </c>
      <c r="H14" s="6">
        <f>measurements!H17/measurements!$H$12</f>
        <v>0.82856609410007465</v>
      </c>
      <c r="I14" s="6">
        <f>measurements!I17/measurements!$I$12</f>
        <v>1.6933783783783785</v>
      </c>
      <c r="J14" s="6">
        <f>measurements!J17/measurements!$J$12</f>
        <v>0.75082000000000004</v>
      </c>
      <c r="K14" s="6">
        <f>measurements!K17/measurements!$K$12</f>
        <v>0.78749999999999998</v>
      </c>
    </row>
    <row r="15" spans="1:11" x14ac:dyDescent="0.3">
      <c r="A15" s="27" t="s">
        <v>77</v>
      </c>
      <c r="B15" s="6">
        <f>measurements!B$13/measurements!$B17</f>
        <v>0.1352144274743291</v>
      </c>
      <c r="C15" s="6" t="e">
        <f>measurements!C18/measurements!$C$12</f>
        <v>#DIV/0!</v>
      </c>
      <c r="D15" s="6">
        <f>measurements!D18/measurements!$D$12</f>
        <v>0.72870900305013875</v>
      </c>
      <c r="E15" s="6">
        <f>measurements!E18/measurements!$E$12</f>
        <v>0.71278776978417269</v>
      </c>
      <c r="F15" s="6">
        <f>measurements!F18/measurements!$F$12</f>
        <v>0.71999473303048267</v>
      </c>
      <c r="G15" s="6">
        <f>measurements!G18/measurements!$G$12</f>
        <v>0.86193726937269377</v>
      </c>
      <c r="H15" s="6" t="e">
        <f>measurements!H18/measurements!$H$12</f>
        <v>#VALUE!</v>
      </c>
      <c r="I15" s="6">
        <f>measurements!I18/measurements!$I$12</f>
        <v>1.5960360360360359</v>
      </c>
      <c r="J15" s="6">
        <f>measurements!J18/measurements!$J$12</f>
        <v>0.71175999999999995</v>
      </c>
      <c r="K15" s="6">
        <f>measurements!K18/measurements!$K$12</f>
        <v>0.71502032520325209</v>
      </c>
    </row>
    <row r="16" spans="1:11" x14ac:dyDescent="0.3">
      <c r="B16" s="6"/>
      <c r="C16" s="6"/>
      <c r="D16" s="6"/>
      <c r="E16" s="6"/>
      <c r="F16" s="6"/>
      <c r="G16" s="6"/>
      <c r="H16" s="6"/>
      <c r="I16" s="6"/>
      <c r="J16" s="6"/>
      <c r="K16" s="6"/>
    </row>
    <row r="17" spans="1:11" x14ac:dyDescent="0.3">
      <c r="A17" s="12" t="s">
        <v>54</v>
      </c>
      <c r="B17" s="6"/>
      <c r="C17" s="6"/>
      <c r="D17" s="6"/>
      <c r="E17" s="6"/>
      <c r="F17" s="6"/>
      <c r="G17" s="6"/>
      <c r="H17" s="6"/>
      <c r="I17" s="6"/>
      <c r="J17" s="6"/>
      <c r="K17" s="6"/>
    </row>
    <row r="18" spans="1:11" x14ac:dyDescent="0.3">
      <c r="A18" s="7" t="s">
        <v>25</v>
      </c>
      <c r="B18" s="6"/>
      <c r="C18" s="6"/>
      <c r="D18" s="6"/>
      <c r="E18" s="6"/>
      <c r="F18" s="6"/>
      <c r="G18" s="6"/>
      <c r="H18" s="6"/>
      <c r="I18" s="6"/>
      <c r="J18" s="6"/>
      <c r="K18" s="6"/>
    </row>
    <row r="19" spans="1:11" x14ac:dyDescent="0.3">
      <c r="B19" s="6"/>
      <c r="C19" s="6"/>
      <c r="D19" s="6"/>
      <c r="E19" s="6"/>
      <c r="F19" s="6"/>
      <c r="G19" s="6"/>
      <c r="H19" s="6"/>
      <c r="I19" s="6"/>
      <c r="J19" s="6"/>
      <c r="K19" s="6"/>
    </row>
    <row r="20" spans="1:11" x14ac:dyDescent="0.3">
      <c r="A20" s="12" t="s">
        <v>55</v>
      </c>
      <c r="B20" s="6"/>
      <c r="C20" s="6"/>
      <c r="D20" s="6"/>
      <c r="E20" s="6"/>
      <c r="F20" s="6"/>
      <c r="G20" s="6"/>
      <c r="H20" s="6"/>
      <c r="I20" s="6"/>
      <c r="J20" s="6"/>
      <c r="K20" s="6"/>
    </row>
    <row r="21" spans="1:11" x14ac:dyDescent="0.3">
      <c r="A21" s="7" t="s">
        <v>29</v>
      </c>
    </row>
    <row r="23" spans="1:11" x14ac:dyDescent="0.3">
      <c r="A23" s="12" t="s">
        <v>56</v>
      </c>
    </row>
    <row r="24" spans="1:11" x14ac:dyDescent="0.3">
      <c r="A24" s="7" t="s">
        <v>32</v>
      </c>
    </row>
    <row r="25" spans="1:11" x14ac:dyDescent="0.3">
      <c r="A25" s="7" t="s">
        <v>33</v>
      </c>
    </row>
    <row r="26" spans="1:11" x14ac:dyDescent="0.3">
      <c r="A26" s="7" t="s">
        <v>34</v>
      </c>
    </row>
    <row r="27" spans="1:11" x14ac:dyDescent="0.3">
      <c r="A27" s="7" t="s">
        <v>35</v>
      </c>
    </row>
    <row r="28" spans="1:11" x14ac:dyDescent="0.3">
      <c r="A28" s="7" t="s">
        <v>36</v>
      </c>
    </row>
    <row r="29" spans="1:11" x14ac:dyDescent="0.3">
      <c r="A29" s="7" t="s">
        <v>37</v>
      </c>
    </row>
    <row r="30" spans="1:11" x14ac:dyDescent="0.3">
      <c r="A30" s="7" t="s">
        <v>38</v>
      </c>
    </row>
    <row r="32" spans="1:11" ht="60" x14ac:dyDescent="0.3">
      <c r="A32" s="3" t="s">
        <v>13</v>
      </c>
    </row>
    <row r="33" spans="1:1" x14ac:dyDescent="0.3">
      <c r="A33" s="3" t="s">
        <v>14</v>
      </c>
    </row>
    <row r="34" spans="1:1" x14ac:dyDescent="0.3">
      <c r="A34" s="3" t="s">
        <v>15</v>
      </c>
    </row>
    <row r="35" spans="1:1" x14ac:dyDescent="0.3">
      <c r="A35" s="3" t="s">
        <v>16</v>
      </c>
    </row>
    <row r="36" spans="1:1" ht="30" x14ac:dyDescent="0.3">
      <c r="A36" s="3" t="s">
        <v>17</v>
      </c>
    </row>
    <row r="37" spans="1:1" ht="45" x14ac:dyDescent="0.3">
      <c r="A37" s="3" t="s">
        <v>18</v>
      </c>
    </row>
    <row r="38" spans="1:1" ht="30" x14ac:dyDescent="0.3">
      <c r="A38" s="3" t="s">
        <v>19</v>
      </c>
    </row>
    <row r="39" spans="1:1" ht="30.75" thickBot="1" x14ac:dyDescent="0.35">
      <c r="A39" s="4" t="s">
        <v>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topLeftCell="D16" workbookViewId="0">
      <selection activeCell="P24" sqref="P24:P28"/>
    </sheetView>
  </sheetViews>
  <sheetFormatPr defaultRowHeight="15" x14ac:dyDescent="0.3"/>
  <cols>
    <col min="1" max="1" width="34.28515625" style="5" bestFit="1" customWidth="1"/>
    <col min="2" max="11" width="14.7109375" style="5" bestFit="1" customWidth="1"/>
    <col min="12" max="16384" width="9.140625" style="5"/>
  </cols>
  <sheetData>
    <row r="1" spans="1:16" x14ac:dyDescent="0.3">
      <c r="A1" s="6"/>
      <c r="B1" s="13" t="s">
        <v>39</v>
      </c>
      <c r="C1" s="14" t="s">
        <v>40</v>
      </c>
      <c r="D1" s="15" t="s">
        <v>47</v>
      </c>
      <c r="E1" s="9"/>
      <c r="F1" s="9"/>
      <c r="G1" s="9"/>
      <c r="H1" s="9"/>
      <c r="I1" s="9"/>
      <c r="J1" s="9"/>
      <c r="K1" s="9"/>
    </row>
    <row r="2" spans="1:16" x14ac:dyDescent="0.3">
      <c r="A2" s="6"/>
      <c r="B2" s="8" t="s">
        <v>41</v>
      </c>
      <c r="C2" s="8" t="s">
        <v>42</v>
      </c>
      <c r="D2" s="8" t="s">
        <v>43</v>
      </c>
      <c r="E2" s="8" t="s">
        <v>44</v>
      </c>
      <c r="F2" s="8" t="s">
        <v>45</v>
      </c>
      <c r="G2" s="8" t="s">
        <v>46</v>
      </c>
      <c r="H2" s="8" t="s">
        <v>48</v>
      </c>
      <c r="I2" s="8" t="s">
        <v>49</v>
      </c>
      <c r="J2" s="8" t="s">
        <v>50</v>
      </c>
      <c r="K2" s="8" t="s">
        <v>51</v>
      </c>
    </row>
    <row r="3" spans="1:16" x14ac:dyDescent="0.3">
      <c r="A3" s="11" t="s">
        <v>52</v>
      </c>
      <c r="B3" s="10"/>
      <c r="C3" s="10"/>
      <c r="D3" s="10"/>
      <c r="E3" s="10"/>
      <c r="F3" s="10"/>
      <c r="G3" s="10"/>
      <c r="H3" s="10"/>
      <c r="I3" s="10"/>
      <c r="J3" s="10"/>
      <c r="K3" s="10"/>
      <c r="M3" s="5" t="s">
        <v>78</v>
      </c>
      <c r="N3" s="5" t="s">
        <v>79</v>
      </c>
      <c r="O3" s="5" t="s">
        <v>80</v>
      </c>
      <c r="P3" s="5" t="s">
        <v>81</v>
      </c>
    </row>
    <row r="4" spans="1:16" x14ac:dyDescent="0.3">
      <c r="A4" s="7" t="s">
        <v>22</v>
      </c>
      <c r="B4" s="6">
        <f>transformed!B4*10</f>
        <v>10.045694444444443</v>
      </c>
      <c r="C4" s="6"/>
      <c r="D4" s="6">
        <f>transformed!D4*10</f>
        <v>8.9003409090909091</v>
      </c>
      <c r="E4" s="6">
        <f>transformed!E4*10</f>
        <v>8.0054090601757935</v>
      </c>
      <c r="F4" s="6">
        <f>transformed!F4*10</f>
        <v>7.8672916666666666</v>
      </c>
      <c r="G4" s="6">
        <f>transformed!G4*10</f>
        <v>7.9303991811668375</v>
      </c>
      <c r="H4" s="6">
        <f>transformed!H4*10</f>
        <v>8.1967213114754109</v>
      </c>
      <c r="I4" s="6"/>
      <c r="J4" s="6">
        <f>transformed!J4*10</f>
        <v>6.4275700934579438</v>
      </c>
      <c r="K4" s="6">
        <f>transformed!K4*10</f>
        <v>6.8238482384823849</v>
      </c>
      <c r="M4" s="5">
        <f>AVERAGE(D4:K4)</f>
        <v>7.7359400657879922</v>
      </c>
      <c r="N4" s="5">
        <f>MIN(D4:K4)</f>
        <v>6.4275700934579438</v>
      </c>
      <c r="O4" s="5">
        <f>MAX(D4:K4)</f>
        <v>8.9003409090909091</v>
      </c>
      <c r="P4" s="5">
        <f>STDEV(D4:K4)</f>
        <v>0.84059237998550018</v>
      </c>
    </row>
    <row r="5" spans="1:16" x14ac:dyDescent="0.3">
      <c r="A5" s="7" t="s">
        <v>23</v>
      </c>
      <c r="B5" s="6">
        <f>transformed!B5*10</f>
        <v>9.694583333333334</v>
      </c>
      <c r="C5" s="6"/>
      <c r="D5" s="6">
        <f>transformed!D5*10</f>
        <v>7.1821590909090904</v>
      </c>
      <c r="E5" s="6">
        <f>transformed!E5*10</f>
        <v>6.7260311020960106</v>
      </c>
      <c r="F5" s="6">
        <f>transformed!F5*10</f>
        <v>6.3345833333333337</v>
      </c>
      <c r="G5" s="6">
        <f>transformed!G5*10</f>
        <v>6.7510519731604681</v>
      </c>
      <c r="H5" s="6">
        <f>transformed!H5*10</f>
        <v>6.9309174575783743</v>
      </c>
      <c r="I5" s="6"/>
      <c r="J5" s="6">
        <f>transformed!J5*10</f>
        <v>5.9028037383177567</v>
      </c>
      <c r="K5" s="6">
        <f>transformed!K5*10</f>
        <v>5.7402168021680211</v>
      </c>
      <c r="M5" s="5">
        <f>AVERAGE(D5:K5)</f>
        <v>6.5096804996518651</v>
      </c>
      <c r="N5" s="5">
        <f t="shared" ref="N5:N15" si="0">MIN(D5:K5)</f>
        <v>5.7402168021680211</v>
      </c>
      <c r="O5" s="5">
        <f t="shared" ref="O5:O15" si="1">MAX(D5:K5)</f>
        <v>7.1821590909090904</v>
      </c>
      <c r="P5" s="5">
        <f t="shared" ref="P5:P15" si="2">STDEV(D5:K5)</f>
        <v>0.53630970602656525</v>
      </c>
    </row>
    <row r="6" spans="1:16" x14ac:dyDescent="0.3">
      <c r="A6" s="7" t="s">
        <v>26</v>
      </c>
      <c r="B6" s="6" t="e">
        <f>transformed!B6*10</f>
        <v>#VALUE!</v>
      </c>
      <c r="C6" s="6"/>
      <c r="D6" s="6"/>
      <c r="E6" s="6">
        <f>transformed!E6*10</f>
        <v>6.8665314401622712</v>
      </c>
      <c r="F6" s="6">
        <f>transformed!F6*10</f>
        <v>6.75875</v>
      </c>
      <c r="G6" s="6">
        <f>transformed!G6*10</f>
        <v>6.7494597975662449</v>
      </c>
      <c r="H6" s="6">
        <f>transformed!H6*10</f>
        <v>7.1307448950244474</v>
      </c>
      <c r="I6" s="6"/>
      <c r="J6" s="6">
        <f>transformed!J6*10</f>
        <v>5.0325233644859813</v>
      </c>
      <c r="K6" s="6">
        <f>transformed!K6*10</f>
        <v>5.745962059620596</v>
      </c>
      <c r="M6" s="5">
        <f>AVERAGE(D6:K6)</f>
        <v>6.3806619261432571</v>
      </c>
      <c r="N6" s="5">
        <f t="shared" si="0"/>
        <v>5.0325233644859813</v>
      </c>
      <c r="O6" s="5">
        <f t="shared" si="1"/>
        <v>7.1307448950244474</v>
      </c>
      <c r="P6" s="5">
        <f t="shared" si="2"/>
        <v>0.81215486311525065</v>
      </c>
    </row>
    <row r="7" spans="1:16" x14ac:dyDescent="0.3">
      <c r="A7" s="7" t="s">
        <v>27</v>
      </c>
      <c r="B7" s="6">
        <f>transformed!B7*10</f>
        <v>1.125</v>
      </c>
      <c r="C7" s="6"/>
      <c r="D7" s="6">
        <f>transformed!D7*10</f>
        <v>0.70454545454545447</v>
      </c>
      <c r="E7" s="6">
        <f>transformed!E7*10</f>
        <v>0.62799188640973624</v>
      </c>
      <c r="F7" s="6">
        <f>transformed!F7*10</f>
        <v>0.57291666666666663</v>
      </c>
      <c r="G7" s="6">
        <f>transformed!G7*10</f>
        <v>0.70510633458432836</v>
      </c>
      <c r="H7" s="6">
        <f>transformed!H7*10</f>
        <v>0.58625251653724475</v>
      </c>
      <c r="I7" s="6"/>
      <c r="J7" s="6">
        <f>transformed!J7*10</f>
        <v>0.44841121495327096</v>
      </c>
      <c r="K7" s="6">
        <f>transformed!K7*10</f>
        <v>0.66666666666666663</v>
      </c>
      <c r="M7" s="5">
        <f t="shared" ref="M5:M15" si="3">AVERAGE(D7:K7)</f>
        <v>0.61598439148048112</v>
      </c>
      <c r="N7" s="5">
        <f t="shared" si="0"/>
        <v>0.44841121495327096</v>
      </c>
      <c r="O7" s="5">
        <f t="shared" si="1"/>
        <v>0.70510633458432836</v>
      </c>
      <c r="P7" s="5">
        <f t="shared" si="2"/>
        <v>9.0662596464424483E-2</v>
      </c>
    </row>
    <row r="8" spans="1:16" x14ac:dyDescent="0.3">
      <c r="B8" s="6"/>
      <c r="C8" s="6"/>
      <c r="D8" s="6"/>
      <c r="E8" s="6"/>
      <c r="F8" s="6"/>
      <c r="G8" s="6"/>
      <c r="H8" s="6"/>
      <c r="I8" s="6"/>
      <c r="J8" s="6"/>
      <c r="K8" s="6"/>
    </row>
    <row r="9" spans="1:16" x14ac:dyDescent="0.3">
      <c r="A9" s="12" t="s">
        <v>53</v>
      </c>
      <c r="B9" s="6"/>
      <c r="C9" s="6"/>
      <c r="D9" s="6"/>
      <c r="E9" s="6"/>
      <c r="F9" s="6"/>
      <c r="G9" s="6"/>
      <c r="H9" s="6"/>
      <c r="I9" s="6"/>
      <c r="J9" s="6"/>
      <c r="K9" s="6"/>
    </row>
    <row r="10" spans="1:16" x14ac:dyDescent="0.3">
      <c r="A10" s="7" t="s">
        <v>21</v>
      </c>
      <c r="B10" s="6">
        <f>transformed!B10*10</f>
        <v>2.3129151291512913</v>
      </c>
      <c r="C10" s="6"/>
      <c r="D10" s="6"/>
      <c r="E10" s="6">
        <f>transformed!E10*10</f>
        <v>0.91564748201438839</v>
      </c>
      <c r="F10" s="6">
        <f>transformed!F10*10</f>
        <v>0.89044703403779057</v>
      </c>
      <c r="G10" s="6">
        <f>transformed!G10*10</f>
        <v>1.2184501845018452</v>
      </c>
      <c r="H10" s="6">
        <f>transformed!H10*10</f>
        <v>1.1629947722180731</v>
      </c>
      <c r="I10" s="6"/>
      <c r="J10" s="6">
        <f>transformed!J10*10</f>
        <v>1.0890000000000002</v>
      </c>
      <c r="K10" s="6">
        <f>transformed!K10*10</f>
        <v>0.90558943089430899</v>
      </c>
      <c r="M10" s="5">
        <f t="shared" si="3"/>
        <v>1.0303548172777344</v>
      </c>
      <c r="N10" s="5">
        <f t="shared" si="0"/>
        <v>0.89044703403779057</v>
      </c>
      <c r="O10" s="5">
        <f t="shared" si="1"/>
        <v>1.2184501845018452</v>
      </c>
      <c r="P10" s="5">
        <f t="shared" si="2"/>
        <v>0.14471409363846666</v>
      </c>
    </row>
    <row r="11" spans="1:16" x14ac:dyDescent="0.3">
      <c r="A11" s="7" t="s">
        <v>31</v>
      </c>
      <c r="B11" s="6">
        <f>transformed!B11*10</f>
        <v>10</v>
      </c>
      <c r="C11" s="6"/>
      <c r="D11" s="6">
        <f>transformed!D11*10</f>
        <v>0.79663456595496762</v>
      </c>
      <c r="E11" s="6">
        <f>transformed!E11*10</f>
        <v>0.63615107913669067</v>
      </c>
      <c r="F11" s="6">
        <f>transformed!F11*10</f>
        <v>0.56833892948844567</v>
      </c>
      <c r="G11" s="6">
        <f>transformed!G11*10</f>
        <v>0.85848708487084868</v>
      </c>
      <c r="H11" s="6">
        <f>transformed!H11*10</f>
        <v>0.87770724421209856</v>
      </c>
      <c r="I11" s="6"/>
      <c r="J11" s="6">
        <f>transformed!J11*10</f>
        <v>0.75280000000000002</v>
      </c>
      <c r="K11" s="6">
        <f>transformed!K11*10</f>
        <v>0.75680894308943092</v>
      </c>
      <c r="M11" s="5">
        <f t="shared" si="3"/>
        <v>0.74956112096464023</v>
      </c>
      <c r="N11" s="5">
        <f t="shared" si="0"/>
        <v>0.56833892948844567</v>
      </c>
      <c r="O11" s="5">
        <f t="shared" si="1"/>
        <v>0.87770724421209856</v>
      </c>
      <c r="P11" s="5">
        <f t="shared" si="2"/>
        <v>0.11274495204761749</v>
      </c>
    </row>
    <row r="12" spans="1:16" x14ac:dyDescent="0.3">
      <c r="A12" s="7" t="s">
        <v>24</v>
      </c>
      <c r="B12" s="6">
        <f>transformed!B12*10</f>
        <v>15.400491400491399</v>
      </c>
      <c r="C12" s="6"/>
      <c r="D12" s="6"/>
      <c r="E12" s="6"/>
      <c r="F12" s="6"/>
      <c r="G12" s="6"/>
      <c r="H12" s="6"/>
      <c r="I12" s="6"/>
      <c r="J12" s="6"/>
      <c r="K12" s="6"/>
    </row>
    <row r="13" spans="1:16" x14ac:dyDescent="0.3">
      <c r="A13" s="7" t="s">
        <v>28</v>
      </c>
      <c r="B13" s="6" t="e">
        <f>transformed!B13*10</f>
        <v>#VALUE!</v>
      </c>
      <c r="C13" s="6"/>
      <c r="D13" s="6"/>
      <c r="E13" s="6"/>
      <c r="F13" s="6"/>
      <c r="G13" s="6"/>
      <c r="H13" s="6"/>
      <c r="I13" s="6"/>
      <c r="J13" s="6"/>
      <c r="K13" s="6"/>
    </row>
    <row r="14" spans="1:16" x14ac:dyDescent="0.3">
      <c r="A14" s="7" t="s">
        <v>30</v>
      </c>
      <c r="B14" s="6" t="e">
        <f>transformed!B14*10</f>
        <v>#VALUE!</v>
      </c>
      <c r="C14" s="6"/>
      <c r="D14" s="6">
        <f>transformed!D14*10</f>
        <v>8.3560094588573968</v>
      </c>
      <c r="E14" s="6">
        <f>transformed!E14*10</f>
        <v>9.4631294964028783</v>
      </c>
      <c r="F14" s="6">
        <f>transformed!F14*10</f>
        <v>8.3571992889591158</v>
      </c>
      <c r="G14" s="6">
        <f>transformed!G14*10</f>
        <v>9.6271217712177108</v>
      </c>
      <c r="H14" s="6">
        <f>transformed!H14*10</f>
        <v>8.2856609410007458</v>
      </c>
      <c r="I14" s="6"/>
      <c r="J14" s="6">
        <f>transformed!J14*10</f>
        <v>7.5082000000000004</v>
      </c>
      <c r="K14" s="6">
        <f>transformed!K14*10</f>
        <v>7.875</v>
      </c>
      <c r="M14" s="5">
        <f t="shared" si="3"/>
        <v>8.4960458509196943</v>
      </c>
      <c r="N14" s="5">
        <f t="shared" si="0"/>
        <v>7.5082000000000004</v>
      </c>
      <c r="O14" s="5">
        <f t="shared" si="1"/>
        <v>9.6271217712177108</v>
      </c>
      <c r="P14" s="5">
        <f t="shared" si="2"/>
        <v>0.78094720885970403</v>
      </c>
    </row>
    <row r="15" spans="1:16" x14ac:dyDescent="0.3">
      <c r="A15" s="27" t="s">
        <v>77</v>
      </c>
      <c r="B15" s="6">
        <f>transformed!B15*10</f>
        <v>1.352144274743291</v>
      </c>
      <c r="C15" s="6"/>
      <c r="D15" s="6">
        <f>transformed!D15*10</f>
        <v>7.2870900305013873</v>
      </c>
      <c r="E15" s="6">
        <f>transformed!E15*10</f>
        <v>7.1278776978417273</v>
      </c>
      <c r="F15" s="6">
        <f>transformed!F15*10</f>
        <v>7.1999473303048269</v>
      </c>
      <c r="G15" s="6">
        <f>transformed!G15*10</f>
        <v>8.6193726937269375</v>
      </c>
      <c r="H15" s="6"/>
      <c r="I15" s="6"/>
      <c r="J15" s="6">
        <f>transformed!J15*10</f>
        <v>7.1175999999999995</v>
      </c>
      <c r="K15" s="6">
        <f>transformed!K15*10</f>
        <v>7.1502032520325205</v>
      </c>
      <c r="M15" s="5">
        <f t="shared" si="3"/>
        <v>7.4170151674012326</v>
      </c>
      <c r="N15" s="5">
        <f t="shared" si="0"/>
        <v>7.1175999999999995</v>
      </c>
      <c r="O15" s="5">
        <f t="shared" si="1"/>
        <v>8.6193726937269375</v>
      </c>
      <c r="P15" s="5">
        <f t="shared" si="2"/>
        <v>0.59230078932382424</v>
      </c>
    </row>
    <row r="16" spans="1:16" x14ac:dyDescent="0.3">
      <c r="B16" s="6"/>
      <c r="C16" s="6"/>
      <c r="D16" s="6"/>
      <c r="E16" s="6"/>
      <c r="F16" s="6"/>
      <c r="G16" s="6"/>
      <c r="H16" s="6"/>
      <c r="I16" s="6"/>
      <c r="J16" s="6"/>
      <c r="K16" s="6"/>
    </row>
    <row r="17" spans="1:16" x14ac:dyDescent="0.3">
      <c r="A17" s="12" t="s">
        <v>54</v>
      </c>
      <c r="B17" s="6"/>
      <c r="C17" s="6"/>
      <c r="D17" s="6"/>
      <c r="E17" s="6"/>
      <c r="F17" s="6"/>
      <c r="G17" s="6"/>
      <c r="H17" s="6"/>
      <c r="I17" s="6"/>
      <c r="J17" s="6"/>
      <c r="K17" s="6"/>
    </row>
    <row r="18" spans="1:16" x14ac:dyDescent="0.3">
      <c r="A18" s="7" t="s">
        <v>25</v>
      </c>
      <c r="B18" s="6"/>
      <c r="C18" s="6"/>
      <c r="D18" s="6"/>
      <c r="E18" s="6"/>
      <c r="F18" s="6"/>
      <c r="G18" s="6"/>
      <c r="H18" s="6"/>
      <c r="I18" s="6"/>
      <c r="J18" s="6"/>
      <c r="K18" s="6"/>
    </row>
    <row r="19" spans="1:16" x14ac:dyDescent="0.3">
      <c r="B19" s="6"/>
      <c r="C19" s="6"/>
      <c r="D19" s="6"/>
      <c r="E19" s="6"/>
      <c r="F19" s="6"/>
      <c r="G19" s="6"/>
      <c r="H19" s="6"/>
      <c r="I19" s="6"/>
      <c r="J19" s="6"/>
      <c r="K19" s="6"/>
    </row>
    <row r="20" spans="1:16" x14ac:dyDescent="0.3">
      <c r="A20" s="12" t="s">
        <v>55</v>
      </c>
      <c r="B20" s="6"/>
      <c r="C20" s="6"/>
      <c r="D20" s="6"/>
      <c r="E20" s="6"/>
      <c r="F20" s="6"/>
      <c r="G20" s="6"/>
      <c r="H20" s="6"/>
      <c r="I20" s="6"/>
      <c r="J20" s="6"/>
      <c r="K20" s="6"/>
    </row>
    <row r="21" spans="1:16" x14ac:dyDescent="0.3">
      <c r="A21" s="7" t="s">
        <v>29</v>
      </c>
    </row>
    <row r="23" spans="1:16" x14ac:dyDescent="0.3">
      <c r="A23" s="12" t="s">
        <v>56</v>
      </c>
    </row>
    <row r="24" spans="1:16" x14ac:dyDescent="0.3">
      <c r="A24" s="7" t="s">
        <v>32</v>
      </c>
      <c r="B24" s="5">
        <f>B10*B11*100</f>
        <v>2312.9151291512912</v>
      </c>
      <c r="E24" s="5">
        <f t="shared" ref="C24:J24" si="4">E10*E11*100</f>
        <v>58.249013379224678</v>
      </c>
      <c r="F24" s="5">
        <f t="shared" si="4"/>
        <v>50.607571409119942</v>
      </c>
      <c r="G24" s="5">
        <f t="shared" si="4"/>
        <v>104.60237469533369</v>
      </c>
      <c r="H24" s="5">
        <f t="shared" si="4"/>
        <v>102.07689365566021</v>
      </c>
      <c r="J24" s="5">
        <f t="shared" si="4"/>
        <v>81.979920000000021</v>
      </c>
      <c r="K24" s="5">
        <f>K10*K11*100</f>
        <v>68.535818006808128</v>
      </c>
      <c r="M24" s="5">
        <f t="shared" ref="M16:M28" si="5">AVERAGE(D24:K24)</f>
        <v>77.675265191024451</v>
      </c>
      <c r="N24" s="5">
        <f t="shared" ref="N16:N28" si="6">MIN(D24:K24)</f>
        <v>50.607571409119942</v>
      </c>
      <c r="O24" s="5">
        <f t="shared" ref="O16:O28" si="7">MAX(D24:K24)</f>
        <v>104.60237469533369</v>
      </c>
      <c r="P24" s="5">
        <f t="shared" ref="P16:P28" si="8">STDEV(D24:K24)</f>
        <v>22.506032755539536</v>
      </c>
    </row>
    <row r="25" spans="1:16" x14ac:dyDescent="0.3">
      <c r="A25" s="7" t="s">
        <v>33</v>
      </c>
      <c r="B25" s="5" t="e">
        <f>B6*100/B4</f>
        <v>#VALUE!</v>
      </c>
      <c r="E25" s="5">
        <f t="shared" ref="C25:K25" si="9">E6*100/E4</f>
        <v>85.773648648648646</v>
      </c>
      <c r="F25" s="5">
        <f t="shared" si="9"/>
        <v>85.90948812329529</v>
      </c>
      <c r="G25" s="5">
        <f t="shared" si="9"/>
        <v>85.108701887225365</v>
      </c>
      <c r="H25" s="5">
        <f t="shared" si="9"/>
        <v>86.995087719298255</v>
      </c>
      <c r="J25" s="5">
        <f t="shared" si="9"/>
        <v>78.295892402762632</v>
      </c>
      <c r="K25" s="5">
        <f t="shared" si="9"/>
        <v>84.204130262112784</v>
      </c>
      <c r="M25" s="5">
        <f t="shared" si="5"/>
        <v>84.381158173890512</v>
      </c>
      <c r="N25" s="5">
        <f t="shared" si="6"/>
        <v>78.295892402762632</v>
      </c>
      <c r="O25" s="5">
        <f t="shared" si="7"/>
        <v>86.995087719298255</v>
      </c>
      <c r="P25" s="5">
        <f t="shared" si="8"/>
        <v>3.1208514244198589</v>
      </c>
    </row>
    <row r="26" spans="1:16" x14ac:dyDescent="0.3">
      <c r="A26" s="7" t="s">
        <v>34</v>
      </c>
      <c r="B26" s="5">
        <f>100*B5/B4</f>
        <v>96.504859738141008</v>
      </c>
      <c r="D26" s="5">
        <f t="shared" ref="C26:K26" si="10">100*D5/D4</f>
        <v>80.695325766377678</v>
      </c>
      <c r="E26" s="5">
        <f t="shared" si="10"/>
        <v>84.018581081081081</v>
      </c>
      <c r="F26" s="5">
        <f t="shared" si="10"/>
        <v>80.517967322511453</v>
      </c>
      <c r="G26" s="5">
        <f t="shared" si="10"/>
        <v>85.128778752939809</v>
      </c>
      <c r="H26" s="5">
        <f t="shared" si="10"/>
        <v>84.557192982456158</v>
      </c>
      <c r="J26" s="5">
        <f t="shared" si="10"/>
        <v>91.835696110505268</v>
      </c>
      <c r="K26" s="5">
        <f t="shared" si="10"/>
        <v>84.119936457505943</v>
      </c>
      <c r="M26" s="5">
        <f t="shared" si="5"/>
        <v>84.410496924768196</v>
      </c>
      <c r="N26" s="5">
        <f t="shared" si="6"/>
        <v>80.517967322511453</v>
      </c>
      <c r="O26" s="5">
        <f t="shared" si="7"/>
        <v>91.835696110505268</v>
      </c>
      <c r="P26" s="5">
        <f t="shared" si="8"/>
        <v>3.7608363059330223</v>
      </c>
    </row>
    <row r="27" spans="1:16" x14ac:dyDescent="0.3">
      <c r="A27" s="7" t="s">
        <v>35</v>
      </c>
      <c r="B27" s="5">
        <f>100*B7/B4</f>
        <v>11.198827579532416</v>
      </c>
      <c r="D27" s="5">
        <f t="shared" ref="C27:K27" si="11">100*D7/D4</f>
        <v>7.9159378471202579</v>
      </c>
      <c r="E27" s="5">
        <f t="shared" si="11"/>
        <v>7.8445945945945947</v>
      </c>
      <c r="F27" s="5">
        <f t="shared" si="11"/>
        <v>7.2822604136323914</v>
      </c>
      <c r="G27" s="5">
        <f t="shared" si="11"/>
        <v>8.8911833878276809</v>
      </c>
      <c r="H27" s="5">
        <f t="shared" si="11"/>
        <v>7.1522807017543855</v>
      </c>
      <c r="J27" s="5">
        <f t="shared" si="11"/>
        <v>6.9763722282806242</v>
      </c>
      <c r="K27" s="5">
        <f t="shared" si="11"/>
        <v>9.7696584590945186</v>
      </c>
      <c r="M27" s="5">
        <f t="shared" si="5"/>
        <v>7.9760410903292085</v>
      </c>
      <c r="N27" s="5">
        <f t="shared" si="6"/>
        <v>6.9763722282806242</v>
      </c>
      <c r="O27" s="5">
        <f t="shared" si="7"/>
        <v>9.7696584590945186</v>
      </c>
      <c r="P27" s="5">
        <f t="shared" si="8"/>
        <v>1.0193698960783601</v>
      </c>
    </row>
    <row r="28" spans="1:16" x14ac:dyDescent="0.3">
      <c r="A28" s="7" t="s">
        <v>36</v>
      </c>
      <c r="B28" s="5">
        <f>B24*10/B4</f>
        <v>2302.3944655517566</v>
      </c>
      <c r="E28" s="5">
        <f t="shared" ref="C28:K28" si="12">E24*10/E4</f>
        <v>72.762069922190292</v>
      </c>
      <c r="F28" s="5">
        <f t="shared" si="12"/>
        <v>64.326547881200042</v>
      </c>
      <c r="G28" s="5">
        <f t="shared" si="12"/>
        <v>131.90051636208185</v>
      </c>
      <c r="H28" s="5">
        <f t="shared" si="12"/>
        <v>124.53381025990545</v>
      </c>
      <c r="J28" s="5">
        <f t="shared" si="12"/>
        <v>127.54418669574703</v>
      </c>
      <c r="K28" s="5">
        <f t="shared" si="12"/>
        <v>100.43573012117633</v>
      </c>
      <c r="M28" s="5">
        <f t="shared" si="5"/>
        <v>103.58381020705015</v>
      </c>
      <c r="N28" s="5">
        <f t="shared" si="6"/>
        <v>64.326547881200042</v>
      </c>
      <c r="O28" s="5">
        <f t="shared" si="7"/>
        <v>131.90051636208185</v>
      </c>
      <c r="P28" s="5">
        <f t="shared" si="8"/>
        <v>29.379791418252786</v>
      </c>
    </row>
    <row r="29" spans="1:16" x14ac:dyDescent="0.3">
      <c r="A29" s="7" t="s">
        <v>37</v>
      </c>
    </row>
    <row r="30" spans="1:16" x14ac:dyDescent="0.3">
      <c r="A30" s="7" t="s">
        <v>38</v>
      </c>
    </row>
    <row r="32" spans="1:16" ht="60" x14ac:dyDescent="0.3">
      <c r="A32" s="3" t="s">
        <v>13</v>
      </c>
    </row>
    <row r="33" spans="1:1" x14ac:dyDescent="0.3">
      <c r="A33" s="3" t="s">
        <v>14</v>
      </c>
    </row>
    <row r="34" spans="1:1" x14ac:dyDescent="0.3">
      <c r="A34" s="3" t="s">
        <v>15</v>
      </c>
    </row>
    <row r="35" spans="1:1" x14ac:dyDescent="0.3">
      <c r="A35" s="3" t="s">
        <v>16</v>
      </c>
    </row>
    <row r="36" spans="1:1" ht="30" x14ac:dyDescent="0.3">
      <c r="A36" s="3" t="s">
        <v>17</v>
      </c>
    </row>
    <row r="37" spans="1:1" ht="45" x14ac:dyDescent="0.3">
      <c r="A37" s="3" t="s">
        <v>18</v>
      </c>
    </row>
    <row r="38" spans="1:1" ht="30" x14ac:dyDescent="0.3">
      <c r="A38" s="3" t="s">
        <v>19</v>
      </c>
    </row>
    <row r="39" spans="1:1" ht="30.75" thickBot="1" x14ac:dyDescent="0.35">
      <c r="A39" s="4" t="s">
        <v>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7:J22"/>
  <sheetViews>
    <sheetView workbookViewId="0">
      <selection activeCell="G21" sqref="G21"/>
    </sheetView>
  </sheetViews>
  <sheetFormatPr defaultRowHeight="15" x14ac:dyDescent="0.25"/>
  <cols>
    <col min="1" max="5" width="9.140625" customWidth="1"/>
    <col min="6" max="6" width="33.85546875" customWidth="1"/>
  </cols>
  <sheetData>
    <row r="7" spans="6:10" ht="15.75" x14ac:dyDescent="0.3">
      <c r="F7" s="11"/>
      <c r="G7" s="29" t="s">
        <v>78</v>
      </c>
      <c r="H7" s="29" t="s">
        <v>79</v>
      </c>
      <c r="I7" s="29" t="s">
        <v>80</v>
      </c>
      <c r="J7" s="29" t="s">
        <v>81</v>
      </c>
    </row>
    <row r="8" spans="6:10" ht="15.75" x14ac:dyDescent="0.3">
      <c r="F8" s="31" t="s">
        <v>83</v>
      </c>
    </row>
    <row r="9" spans="6:10" x14ac:dyDescent="0.25">
      <c r="F9" s="7" t="s">
        <v>22</v>
      </c>
      <c r="G9">
        <v>7.7359400657879922</v>
      </c>
      <c r="H9">
        <v>6.4275700934579438</v>
      </c>
      <c r="I9">
        <v>8.9003409090909091</v>
      </c>
      <c r="J9">
        <v>0.84059237998550018</v>
      </c>
    </row>
    <row r="10" spans="6:10" x14ac:dyDescent="0.25">
      <c r="F10" s="7" t="s">
        <v>23</v>
      </c>
      <c r="G10">
        <v>6.5096804996518651</v>
      </c>
      <c r="H10">
        <v>5.7402168021680211</v>
      </c>
      <c r="I10">
        <v>7.1821590909090904</v>
      </c>
      <c r="J10">
        <v>0.53630970602656525</v>
      </c>
    </row>
    <row r="11" spans="6:10" x14ac:dyDescent="0.25">
      <c r="F11" s="7" t="s">
        <v>26</v>
      </c>
      <c r="G11">
        <v>6.3806619261432571</v>
      </c>
      <c r="H11">
        <v>5.0325233644859813</v>
      </c>
      <c r="I11">
        <v>7.1307448950244474</v>
      </c>
      <c r="J11">
        <v>0.81215486311525065</v>
      </c>
    </row>
    <row r="12" spans="6:10" ht="30" x14ac:dyDescent="0.25">
      <c r="F12" s="7" t="s">
        <v>27</v>
      </c>
      <c r="G12">
        <v>0.61598439148048112</v>
      </c>
      <c r="H12">
        <v>0.44841121495327096</v>
      </c>
      <c r="I12">
        <v>0.70510633458432836</v>
      </c>
      <c r="J12">
        <v>9.0662596464424483E-2</v>
      </c>
    </row>
    <row r="13" spans="6:10" x14ac:dyDescent="0.25">
      <c r="F13" s="7" t="s">
        <v>21</v>
      </c>
      <c r="G13">
        <v>1.0303548172777344</v>
      </c>
      <c r="H13">
        <v>0.89044703403779057</v>
      </c>
      <c r="I13">
        <v>1.2184501845018452</v>
      </c>
      <c r="J13">
        <v>0.14471409363846666</v>
      </c>
    </row>
    <row r="14" spans="6:10" x14ac:dyDescent="0.25">
      <c r="F14" s="7" t="s">
        <v>31</v>
      </c>
      <c r="G14">
        <v>0.74956112096464023</v>
      </c>
      <c r="H14">
        <v>0.56833892948844567</v>
      </c>
      <c r="I14">
        <v>0.87770724421209856</v>
      </c>
      <c r="J14">
        <v>0.11274495204761749</v>
      </c>
    </row>
    <row r="15" spans="6:10" x14ac:dyDescent="0.25">
      <c r="F15" s="7" t="s">
        <v>28</v>
      </c>
      <c r="G15">
        <v>8.4960458509196943</v>
      </c>
      <c r="H15">
        <v>7.5082000000000004</v>
      </c>
      <c r="I15">
        <v>9.6271217712177108</v>
      </c>
      <c r="J15">
        <v>0.78094720885970403</v>
      </c>
    </row>
    <row r="16" spans="6:10" x14ac:dyDescent="0.25">
      <c r="F16" s="7" t="s">
        <v>30</v>
      </c>
      <c r="G16">
        <v>7.4170151674012326</v>
      </c>
      <c r="H16">
        <v>7.1175999999999995</v>
      </c>
      <c r="I16">
        <v>8.6193726937269375</v>
      </c>
      <c r="J16">
        <v>0.59230078932382424</v>
      </c>
    </row>
    <row r="17" spans="6:10" x14ac:dyDescent="0.25">
      <c r="F17" s="32" t="s">
        <v>82</v>
      </c>
    </row>
    <row r="18" spans="6:10" x14ac:dyDescent="0.25">
      <c r="F18" s="28" t="s">
        <v>34</v>
      </c>
      <c r="G18" s="30">
        <f>G10*100/G9</f>
        <v>84.148538436081864</v>
      </c>
      <c r="H18" s="30">
        <f t="shared" ref="H18:J18" si="0">H10*100/H9</f>
        <v>89.306171985747483</v>
      </c>
      <c r="I18" s="30">
        <f t="shared" si="0"/>
        <v>80.695325766377678</v>
      </c>
      <c r="J18" s="30">
        <f>J10*100/J9</f>
        <v>63.801399917022366</v>
      </c>
    </row>
    <row r="19" spans="6:10" x14ac:dyDescent="0.25">
      <c r="F19" s="28" t="s">
        <v>35</v>
      </c>
      <c r="G19" s="30">
        <f>100*G12/Sheet2!G10</f>
        <v>9.4625902379298612</v>
      </c>
      <c r="H19" s="30">
        <f>100*H12/Sheet2!H10</f>
        <v>7.8117470194489975</v>
      </c>
      <c r="I19" s="30">
        <f>100*I12/Sheet2!I10</f>
        <v>9.8174702851796436</v>
      </c>
      <c r="J19" s="30">
        <f>100*J12/Sheet2!J10</f>
        <v>16.904895705902749</v>
      </c>
    </row>
    <row r="20" spans="6:10" x14ac:dyDescent="0.25">
      <c r="F20" s="28" t="s">
        <v>32</v>
      </c>
      <c r="G20" s="30">
        <f>100*G13*G14</f>
        <v>77.231391183001563</v>
      </c>
      <c r="H20" s="30">
        <f t="shared" ref="H20:J20" si="1">100*H13*H14</f>
        <v>50.607571409119942</v>
      </c>
      <c r="I20" s="30">
        <f t="shared" si="1"/>
        <v>106.94425536488374</v>
      </c>
      <c r="J20" s="30">
        <f t="shared" si="1"/>
        <v>1.6315783547883351</v>
      </c>
    </row>
    <row r="21" spans="6:10" x14ac:dyDescent="0.25">
      <c r="F21" s="28" t="s">
        <v>36</v>
      </c>
      <c r="G21" s="30">
        <f>G20*10/G9</f>
        <v>99.834526284084745</v>
      </c>
      <c r="H21" s="30">
        <f t="shared" ref="H21:J21" si="2">H20*10/H9</f>
        <v>78.735152901138989</v>
      </c>
      <c r="I21" s="30">
        <f t="shared" si="2"/>
        <v>120.15748212031932</v>
      </c>
      <c r="J21" s="30">
        <f t="shared" si="2"/>
        <v>19.409863729867254</v>
      </c>
    </row>
    <row r="22" spans="6:10" x14ac:dyDescent="0.25">
      <c r="F22" s="28" t="s">
        <v>33</v>
      </c>
      <c r="G22">
        <f>G11*100/G9</f>
        <v>82.480756984682188</v>
      </c>
      <c r="H22">
        <f t="shared" ref="H22:J22" si="3">H11*100/H9</f>
        <v>78.295892402762632</v>
      </c>
      <c r="I22">
        <f t="shared" si="3"/>
        <v>80.117660299292851</v>
      </c>
      <c r="J22">
        <f t="shared" si="3"/>
        <v>96.616967088050444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terminology</vt:lpstr>
      <vt:lpstr>measurements</vt:lpstr>
      <vt:lpstr>transformed</vt:lpstr>
      <vt:lpstr>Sheet1</vt:lpstr>
      <vt:lpstr>Sheet2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2013-09-12T13:45:25Z</dcterms:modified>
</cp:coreProperties>
</file>